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1085" activeTab="5"/>
  </bookViews>
  <sheets>
    <sheet name="Maxs" sheetId="1" r:id="rId1"/>
    <sheet name="10s wave" sheetId="6" r:id="rId2"/>
    <sheet name="8s wave" sheetId="2" r:id="rId3"/>
    <sheet name="5s wave" sheetId="3" r:id="rId4"/>
    <sheet name="3s wave" sheetId="4" r:id="rId5"/>
    <sheet name="1s wave " sheetId="7" r:id="rId6"/>
    <sheet name="Chad Schedule and Accessory" sheetId="5" r:id="rId7"/>
  </sheets>
  <definedNames>
    <definedName name="_xlnm.Print_Area" localSheetId="1">'10s wave'!$A$2:$I$15</definedName>
    <definedName name="_xlnm.Print_Area" localSheetId="5">'1s wave '!$A$2:$I$18</definedName>
    <definedName name="_xlnm.Print_Area" localSheetId="4">'3s wave'!$A$2:$I$18</definedName>
    <definedName name="_xlnm.Print_Area" localSheetId="3">'5s wave'!$A$2:$I$18</definedName>
    <definedName name="_xlnm.Print_Area" localSheetId="2">'8s wave'!$A$2:$I$16</definedName>
    <definedName name="_xlnm.Print_Area" localSheetId="6">'Chad Schedule and Accessory'!$A$1:$C$26</definedName>
  </definedNames>
  <calcPr calcId="145621"/>
</workbook>
</file>

<file path=xl/calcChain.xml><?xml version="1.0" encoding="utf-8"?>
<calcChain xmlns="http://schemas.openxmlformats.org/spreadsheetml/2006/main">
  <c r="H18" i="7" l="1"/>
  <c r="H18" i="4"/>
  <c r="E24" i="7"/>
  <c r="E23" i="7"/>
  <c r="E22" i="7"/>
  <c r="E21" i="7"/>
  <c r="I22" i="7" l="1"/>
  <c r="I24" i="7"/>
  <c r="B15" i="7"/>
  <c r="I23" i="7"/>
  <c r="I21" i="7"/>
  <c r="H12" i="7"/>
  <c r="H13" i="7"/>
  <c r="F13" i="7"/>
  <c r="F12" i="7"/>
  <c r="D13" i="7"/>
  <c r="D12" i="7"/>
  <c r="B13" i="7"/>
  <c r="B12" i="7"/>
  <c r="H7" i="7"/>
  <c r="H6" i="7"/>
  <c r="H5" i="7"/>
  <c r="F7" i="7"/>
  <c r="F6" i="7"/>
  <c r="F5" i="7"/>
  <c r="D7" i="7"/>
  <c r="D6" i="7"/>
  <c r="D5" i="7"/>
  <c r="B7" i="7"/>
  <c r="H15" i="7"/>
  <c r="F15" i="7"/>
  <c r="F18" i="7"/>
  <c r="D18" i="7"/>
  <c r="H17" i="7"/>
  <c r="F17" i="7"/>
  <c r="D17" i="7"/>
  <c r="H16" i="7"/>
  <c r="F16" i="7"/>
  <c r="D16" i="7"/>
  <c r="H11" i="7"/>
  <c r="F11" i="7"/>
  <c r="D11" i="7"/>
  <c r="H10" i="7"/>
  <c r="F10" i="7"/>
  <c r="D10" i="7"/>
  <c r="H9" i="7"/>
  <c r="F9" i="7"/>
  <c r="D9" i="7"/>
  <c r="H8" i="7"/>
  <c r="F8" i="7"/>
  <c r="D8" i="7"/>
  <c r="H4" i="7"/>
  <c r="F4" i="7"/>
  <c r="B24" i="7"/>
  <c r="B23" i="7"/>
  <c r="B22" i="7"/>
  <c r="B21" i="7"/>
  <c r="D4" i="7" l="1"/>
  <c r="D15" i="7"/>
  <c r="B5" i="7"/>
  <c r="B4" i="7"/>
  <c r="B6" i="7"/>
  <c r="B16" i="7"/>
  <c r="B17" i="7"/>
  <c r="B18" i="7"/>
  <c r="B8" i="7"/>
  <c r="B9" i="7"/>
  <c r="B10" i="7"/>
  <c r="B11" i="7"/>
  <c r="B3" i="1"/>
  <c r="B6" i="1"/>
  <c r="B12" i="1" s="1"/>
  <c r="E19" i="6" s="1"/>
  <c r="B5" i="1"/>
  <c r="A12" i="1" s="1"/>
  <c r="B4" i="1"/>
  <c r="D12" i="1" s="1"/>
  <c r="B22" i="2" s="1"/>
  <c r="C12" i="1"/>
  <c r="B14" i="6" s="1"/>
  <c r="D16" i="2" l="1"/>
  <c r="D11" i="2"/>
  <c r="D5" i="2"/>
  <c r="E20" i="2"/>
  <c r="D4" i="3" s="1"/>
  <c r="F11" i="2"/>
  <c r="D15" i="2"/>
  <c r="D13" i="2"/>
  <c r="D10" i="2"/>
  <c r="D8" i="2"/>
  <c r="D6" i="2"/>
  <c r="D4" i="2"/>
  <c r="D14" i="2"/>
  <c r="D9" i="2"/>
  <c r="D7" i="2"/>
  <c r="F15" i="6"/>
  <c r="E20" i="6"/>
  <c r="F9" i="2" s="1"/>
  <c r="E21" i="6"/>
  <c r="H4" i="2" s="1"/>
  <c r="B9" i="6"/>
  <c r="B7" i="6"/>
  <c r="B5" i="6"/>
  <c r="B15" i="6"/>
  <c r="E18" i="6"/>
  <c r="B4" i="2" s="1"/>
  <c r="B10" i="6"/>
  <c r="B8" i="6"/>
  <c r="B6" i="6"/>
  <c r="B4" i="6"/>
  <c r="D4" i="6"/>
  <c r="D6" i="6"/>
  <c r="D8" i="6"/>
  <c r="D10" i="6"/>
  <c r="D13" i="6"/>
  <c r="D15" i="6"/>
  <c r="B19" i="6"/>
  <c r="B20" i="2" s="1"/>
  <c r="D5" i="6"/>
  <c r="D7" i="6"/>
  <c r="D9" i="6"/>
  <c r="D12" i="6"/>
  <c r="D14" i="6"/>
  <c r="B21" i="6"/>
  <c r="H4" i="6"/>
  <c r="H6" i="6"/>
  <c r="H8" i="6"/>
  <c r="H10" i="6"/>
  <c r="H13" i="6"/>
  <c r="H15" i="6"/>
  <c r="H5" i="6"/>
  <c r="H7" i="6"/>
  <c r="H9" i="6"/>
  <c r="H12" i="6"/>
  <c r="H14" i="6"/>
  <c r="B12" i="6"/>
  <c r="B18" i="6"/>
  <c r="B19" i="2" s="1"/>
  <c r="B13" i="6"/>
  <c r="B20" i="6"/>
  <c r="F5" i="6"/>
  <c r="F7" i="6"/>
  <c r="F9" i="6"/>
  <c r="F12" i="6"/>
  <c r="F14" i="6"/>
  <c r="F4" i="6"/>
  <c r="F6" i="6"/>
  <c r="F8" i="6"/>
  <c r="F10" i="6"/>
  <c r="F13" i="6"/>
  <c r="B24" i="3"/>
  <c r="B21" i="2"/>
  <c r="H13" i="2" l="1"/>
  <c r="H8" i="2"/>
  <c r="D10" i="3"/>
  <c r="D15" i="3"/>
  <c r="D6" i="3"/>
  <c r="D12" i="3"/>
  <c r="D8" i="3"/>
  <c r="H10" i="2"/>
  <c r="H6" i="2"/>
  <c r="F13" i="2"/>
  <c r="F8" i="2"/>
  <c r="F4" i="2"/>
  <c r="F14" i="2"/>
  <c r="F10" i="2"/>
  <c r="F6" i="2"/>
  <c r="F15" i="2"/>
  <c r="F5" i="2"/>
  <c r="B13" i="2"/>
  <c r="B10" i="2"/>
  <c r="B6" i="2"/>
  <c r="B8" i="2"/>
  <c r="E22" i="3"/>
  <c r="D17" i="3"/>
  <c r="D16" i="3"/>
  <c r="D11" i="3"/>
  <c r="D7" i="3"/>
  <c r="D18" i="3"/>
  <c r="D13" i="3"/>
  <c r="D9" i="3"/>
  <c r="D5" i="3"/>
  <c r="E21" i="2"/>
  <c r="F16" i="2"/>
  <c r="F7" i="2"/>
  <c r="H15" i="2"/>
  <c r="H14" i="2"/>
  <c r="H9" i="2"/>
  <c r="H5" i="2"/>
  <c r="H16" i="2"/>
  <c r="H11" i="2"/>
  <c r="H7" i="2"/>
  <c r="E22" i="2"/>
  <c r="B14" i="2"/>
  <c r="B9" i="2"/>
  <c r="B5" i="2"/>
  <c r="E19" i="2"/>
  <c r="B16" i="2"/>
  <c r="B11" i="2"/>
  <c r="B7" i="2"/>
  <c r="B15" i="2"/>
  <c r="B21" i="3"/>
  <c r="B21" i="4" s="1"/>
  <c r="B24" i="4"/>
  <c r="B23" i="3"/>
  <c r="B22" i="3"/>
  <c r="E22" i="4" l="1"/>
  <c r="D7" i="4"/>
  <c r="D13" i="4"/>
  <c r="D18" i="4"/>
  <c r="D4" i="4"/>
  <c r="D8" i="4"/>
  <c r="D12" i="4"/>
  <c r="D17" i="4"/>
  <c r="D5" i="4"/>
  <c r="D9" i="4"/>
  <c r="D16" i="4"/>
  <c r="D11" i="4"/>
  <c r="D6" i="4"/>
  <c r="D10" i="4"/>
  <c r="D15" i="4"/>
  <c r="F18" i="3"/>
  <c r="F16" i="3"/>
  <c r="F13" i="3"/>
  <c r="F11" i="3"/>
  <c r="F9" i="3"/>
  <c r="F7" i="3"/>
  <c r="F5" i="3"/>
  <c r="E23" i="3"/>
  <c r="F17" i="3"/>
  <c r="F15" i="3"/>
  <c r="F12" i="3"/>
  <c r="F10" i="3"/>
  <c r="F8" i="3"/>
  <c r="F6" i="3"/>
  <c r="F4" i="3"/>
  <c r="H17" i="3"/>
  <c r="E24" i="3"/>
  <c r="H7" i="3"/>
  <c r="H11" i="3"/>
  <c r="H16" i="3"/>
  <c r="H6" i="3"/>
  <c r="H10" i="3"/>
  <c r="H15" i="3"/>
  <c r="H5" i="3"/>
  <c r="H9" i="3"/>
  <c r="H13" i="3"/>
  <c r="H18" i="3"/>
  <c r="H4" i="3"/>
  <c r="H8" i="3"/>
  <c r="H12" i="3"/>
  <c r="B18" i="3"/>
  <c r="E21" i="3"/>
  <c r="B15" i="3"/>
  <c r="B10" i="3"/>
  <c r="B6" i="3"/>
  <c r="B17" i="3"/>
  <c r="B12" i="3"/>
  <c r="B8" i="3"/>
  <c r="B4" i="3"/>
  <c r="B5" i="3"/>
  <c r="B9" i="3"/>
  <c r="B13" i="3"/>
  <c r="B7" i="3"/>
  <c r="B11" i="3"/>
  <c r="B16" i="3"/>
  <c r="B23" i="4"/>
  <c r="B22" i="4"/>
  <c r="E23" i="4" l="1"/>
  <c r="F6" i="4"/>
  <c r="F10" i="4"/>
  <c r="F15" i="4"/>
  <c r="F5" i="4"/>
  <c r="F9" i="4"/>
  <c r="F13" i="4"/>
  <c r="F18" i="4"/>
  <c r="F4" i="4"/>
  <c r="F8" i="4"/>
  <c r="F12" i="4"/>
  <c r="F17" i="4"/>
  <c r="F7" i="4"/>
  <c r="F11" i="4"/>
  <c r="F16" i="4"/>
  <c r="E24" i="4"/>
  <c r="H6" i="4"/>
  <c r="H10" i="4"/>
  <c r="H15" i="4"/>
  <c r="H5" i="4"/>
  <c r="H9" i="4"/>
  <c r="H13" i="4"/>
  <c r="H4" i="4"/>
  <c r="H8" i="4"/>
  <c r="H12" i="4"/>
  <c r="H17" i="4"/>
  <c r="H7" i="4"/>
  <c r="H11" i="4"/>
  <c r="H16" i="4"/>
  <c r="E21" i="4"/>
  <c r="B18" i="4"/>
  <c r="B6" i="4"/>
  <c r="B10" i="4"/>
  <c r="B15" i="4"/>
  <c r="B5" i="4"/>
  <c r="B9" i="4"/>
  <c r="B13" i="4"/>
  <c r="B4" i="4"/>
  <c r="B8" i="4"/>
  <c r="B12" i="4"/>
  <c r="B17" i="4"/>
  <c r="B7" i="4"/>
  <c r="B11" i="4"/>
  <c r="B16" i="4"/>
</calcChain>
</file>

<file path=xl/sharedStrings.xml><?xml version="1.0" encoding="utf-8"?>
<sst xmlns="http://schemas.openxmlformats.org/spreadsheetml/2006/main" count="197" uniqueCount="82">
  <si>
    <t>10s wave</t>
  </si>
  <si>
    <t>8s wave</t>
  </si>
  <si>
    <t>5s wave</t>
  </si>
  <si>
    <t>3s wave</t>
  </si>
  <si>
    <t>Deadlift</t>
  </si>
  <si>
    <t>Bench Press</t>
  </si>
  <si>
    <t>Squat</t>
  </si>
  <si>
    <t>Bench</t>
  </si>
  <si>
    <t>OHP</t>
  </si>
  <si>
    <t>Accumulation (week 1)</t>
  </si>
  <si>
    <t>Intensification (week 2)</t>
  </si>
  <si>
    <t>Realization (week 3)</t>
  </si>
  <si>
    <t>Deload (week 4)</t>
  </si>
  <si>
    <t>Accumulation (week 5)</t>
  </si>
  <si>
    <t>Intensification (week 6)</t>
  </si>
  <si>
    <t>Realization (week 7)</t>
  </si>
  <si>
    <t>Deload (week 8)</t>
  </si>
  <si>
    <t>Deload (week 12)</t>
  </si>
  <si>
    <t>Deload (week 16)</t>
  </si>
  <si>
    <t>Accumulation (week 9)</t>
  </si>
  <si>
    <t>Intensification (week 10)</t>
  </si>
  <si>
    <t>Realization (week 11)</t>
  </si>
  <si>
    <t>Accumulation (week 13)</t>
  </si>
  <si>
    <t>Intensification (week 14)</t>
  </si>
  <si>
    <t>Realization (week 15)</t>
  </si>
  <si>
    <t>Monday</t>
  </si>
  <si>
    <t>horizontal pulling</t>
  </si>
  <si>
    <t>DB rows or Chest supported rows</t>
  </si>
  <si>
    <t>dips</t>
  </si>
  <si>
    <t>Abs</t>
  </si>
  <si>
    <t>front</t>
  </si>
  <si>
    <t>5x10-15</t>
  </si>
  <si>
    <t>3-5x15-20</t>
  </si>
  <si>
    <t>upper body conditioning</t>
  </si>
  <si>
    <t>Wednesday</t>
  </si>
  <si>
    <t>Jumping</t>
  </si>
  <si>
    <t>whatever phase it is</t>
  </si>
  <si>
    <t>Hamsting/Low back</t>
  </si>
  <si>
    <t>GHR or 45 hyper</t>
  </si>
  <si>
    <t>3-5x5-10</t>
  </si>
  <si>
    <t>Walking Lunges</t>
  </si>
  <si>
    <t>Side Bends</t>
  </si>
  <si>
    <t>3-5x12-20 steps</t>
  </si>
  <si>
    <t>Friday</t>
  </si>
  <si>
    <t>Military Press</t>
  </si>
  <si>
    <t>Lat Pull Down</t>
  </si>
  <si>
    <t>5-10x5-10</t>
  </si>
  <si>
    <t>Dips</t>
  </si>
  <si>
    <t>5x10-20</t>
  </si>
  <si>
    <t>Upper body Conditioning</t>
  </si>
  <si>
    <t>Saturday</t>
  </si>
  <si>
    <t>GHR</t>
  </si>
  <si>
    <t>3x10-20</t>
  </si>
  <si>
    <t>back extension</t>
  </si>
  <si>
    <t>decline sit ups</t>
  </si>
  <si>
    <t>4x3, 5x2, 5x1</t>
  </si>
  <si>
    <t>sledgehammer tire hits</t>
  </si>
  <si>
    <t>battle ropes</t>
  </si>
  <si>
    <t>weighted or box jumps</t>
  </si>
  <si>
    <t>Sprinting</t>
  </si>
  <si>
    <t>free or weighted</t>
  </si>
  <si>
    <t>3xAMAP</t>
  </si>
  <si>
    <t>10, 15, 20 yards</t>
  </si>
  <si>
    <t>3-5x10-20</t>
  </si>
  <si>
    <t>Estimated 1RM</t>
  </si>
  <si>
    <t>Weight Used</t>
  </si>
  <si>
    <t>OH Press</t>
  </si>
  <si>
    <t>Reps</t>
  </si>
  <si>
    <t>Training Maxes (90% of 1RM)</t>
  </si>
  <si>
    <t>Overhead</t>
  </si>
  <si>
    <t>Reps Achieved</t>
  </si>
  <si>
    <t>10s Wave</t>
  </si>
  <si>
    <t>Wave 1 Estimated Maxes</t>
  </si>
  <si>
    <t>Wave 2 Estimated Maxes</t>
  </si>
  <si>
    <t>Wave 3 Estimated Maxes</t>
  </si>
  <si>
    <t>Wave 4 Estimated Maxes</t>
  </si>
  <si>
    <t>USE THESE NUMBERS TO CARRY OVER TO WAVE 1 OF NEXT CYCLE</t>
  </si>
  <si>
    <r>
      <t>Benc</t>
    </r>
    <r>
      <rPr>
        <i/>
        <sz val="8"/>
        <color theme="1"/>
        <rFont val="Calibri"/>
        <family val="2"/>
        <scheme val="minor"/>
      </rPr>
      <t>h</t>
    </r>
  </si>
  <si>
    <t>One Rep Max Calculator Used For First Wave</t>
  </si>
  <si>
    <t>Next Wave Numbers</t>
  </si>
  <si>
    <t>1s wave</t>
  </si>
  <si>
    <t xml:space="preserve"> Wave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</si>
</sst>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color indexed="10"/>
      <name val="Calibri"/>
      <family val="2"/>
    </font>
    <font>
      <b/>
      <i/>
      <u/>
      <sz val="1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 style="thick">
        <color indexed="64"/>
      </bottom>
      <diagonal/>
    </border>
    <border>
      <left/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dashed">
        <color indexed="64"/>
      </top>
      <bottom/>
      <diagonal/>
    </border>
    <border>
      <left/>
      <right style="thick">
        <color indexed="64"/>
      </right>
      <top style="dashed">
        <color indexed="64"/>
      </top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5" borderId="0" xfId="0" applyFill="1"/>
    <xf numFmtId="0" fontId="5" fillId="4" borderId="29" xfId="0" applyFont="1" applyFill="1" applyBorder="1" applyAlignment="1">
      <alignment horizontal="center"/>
    </xf>
    <xf numFmtId="1" fontId="4" fillId="4" borderId="32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3" borderId="1" xfId="0" applyFont="1" applyFill="1" applyBorder="1"/>
    <xf numFmtId="0" fontId="4" fillId="3" borderId="2" xfId="0" applyFont="1" applyFill="1" applyBorder="1"/>
    <xf numFmtId="0" fontId="4" fillId="3" borderId="30" xfId="0" applyFont="1" applyFill="1" applyBorder="1" applyAlignment="1">
      <alignment horizontal="center"/>
    </xf>
    <xf numFmtId="1" fontId="4" fillId="4" borderId="27" xfId="0" applyNumberFormat="1" applyFont="1" applyFill="1" applyBorder="1" applyAlignment="1">
      <alignment horizontal="center"/>
    </xf>
    <xf numFmtId="1" fontId="4" fillId="4" borderId="11" xfId="0" applyNumberFormat="1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4" fillId="0" borderId="0" xfId="0" applyFont="1"/>
    <xf numFmtId="0" fontId="0" fillId="4" borderId="35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37" xfId="0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1" fontId="4" fillId="4" borderId="3" xfId="0" applyNumberFormat="1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4" fillId="0" borderId="0" xfId="0" applyFont="1"/>
    <xf numFmtId="0" fontId="17" fillId="4" borderId="40" xfId="0" applyFont="1" applyFill="1" applyBorder="1" applyAlignment="1">
      <alignment horizontal="center"/>
    </xf>
    <xf numFmtId="1" fontId="4" fillId="4" borderId="38" xfId="0" applyNumberFormat="1" applyFont="1" applyFill="1" applyBorder="1" applyAlignment="1">
      <alignment horizontal="center"/>
    </xf>
    <xf numFmtId="0" fontId="4" fillId="4" borderId="38" xfId="0" applyFont="1" applyFill="1" applyBorder="1" applyAlignment="1">
      <alignment horizontal="center"/>
    </xf>
    <xf numFmtId="1" fontId="4" fillId="4" borderId="39" xfId="0" applyNumberFormat="1" applyFont="1" applyFill="1" applyBorder="1" applyAlignment="1">
      <alignment horizontal="center"/>
    </xf>
    <xf numFmtId="0" fontId="4" fillId="4" borderId="39" xfId="0" applyFont="1" applyFill="1" applyBorder="1" applyAlignment="1">
      <alignment horizontal="center"/>
    </xf>
    <xf numFmtId="1" fontId="4" fillId="4" borderId="40" xfId="0" applyNumberFormat="1" applyFont="1" applyFill="1" applyBorder="1" applyAlignment="1">
      <alignment horizontal="center"/>
    </xf>
    <xf numFmtId="0" fontId="4" fillId="4" borderId="40" xfId="0" applyFont="1" applyFill="1" applyBorder="1" applyAlignment="1">
      <alignment horizontal="center"/>
    </xf>
    <xf numFmtId="0" fontId="15" fillId="4" borderId="38" xfId="0" applyFont="1" applyFill="1" applyBorder="1" applyAlignment="1">
      <alignment horizontal="center"/>
    </xf>
    <xf numFmtId="0" fontId="15" fillId="2" borderId="38" xfId="0" applyFont="1" applyFill="1" applyBorder="1" applyAlignment="1">
      <alignment horizontal="center"/>
    </xf>
    <xf numFmtId="0" fontId="15" fillId="2" borderId="39" xfId="0" applyFont="1" applyFill="1" applyBorder="1" applyAlignment="1">
      <alignment horizontal="center"/>
    </xf>
    <xf numFmtId="0" fontId="15" fillId="2" borderId="4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0" fillId="2" borderId="38" xfId="0" applyFont="1" applyFill="1" applyBorder="1" applyAlignment="1">
      <alignment horizontal="center"/>
    </xf>
    <xf numFmtId="0" fontId="10" fillId="2" borderId="39" xfId="0" applyFont="1" applyFill="1" applyBorder="1" applyAlignment="1">
      <alignment horizontal="center"/>
    </xf>
    <xf numFmtId="0" fontId="10" fillId="2" borderId="40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9" fillId="2" borderId="5" xfId="0" applyFont="1" applyFill="1" applyBorder="1"/>
    <xf numFmtId="0" fontId="12" fillId="2" borderId="3" xfId="0" applyFont="1" applyFill="1" applyBorder="1"/>
    <xf numFmtId="0" fontId="20" fillId="4" borderId="9" xfId="0" applyFont="1" applyFill="1" applyBorder="1"/>
    <xf numFmtId="0" fontId="4" fillId="4" borderId="9" xfId="0" applyFont="1" applyFill="1" applyBorder="1"/>
    <xf numFmtId="0" fontId="20" fillId="4" borderId="10" xfId="0" applyFont="1" applyFill="1" applyBorder="1"/>
    <xf numFmtId="0" fontId="4" fillId="4" borderId="10" xfId="0" applyFont="1" applyFill="1" applyBorder="1"/>
    <xf numFmtId="0" fontId="20" fillId="4" borderId="11" xfId="0" applyFont="1" applyFill="1" applyBorder="1"/>
    <xf numFmtId="0" fontId="4" fillId="4" borderId="11" xfId="0" applyFont="1" applyFill="1" applyBorder="1"/>
    <xf numFmtId="0" fontId="20" fillId="0" borderId="0" xfId="0" applyFont="1"/>
    <xf numFmtId="0" fontId="12" fillId="2" borderId="4" xfId="0" applyFont="1" applyFill="1" applyBorder="1"/>
    <xf numFmtId="0" fontId="0" fillId="4" borderId="40" xfId="0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0" fillId="0" borderId="26" xfId="0" applyBorder="1"/>
    <xf numFmtId="0" fontId="0" fillId="0" borderId="28" xfId="0" applyBorder="1"/>
    <xf numFmtId="0" fontId="0" fillId="0" borderId="24" xfId="0" applyBorder="1"/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0" fillId="0" borderId="14" xfId="0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8" fillId="2" borderId="2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0" fillId="0" borderId="21" xfId="0" applyBorder="1"/>
    <xf numFmtId="0" fontId="7" fillId="2" borderId="12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4" fillId="4" borderId="30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1" fontId="4" fillId="4" borderId="25" xfId="0" applyNumberFormat="1" applyFont="1" applyFill="1" applyBorder="1" applyAlignment="1">
      <alignment horizontal="center"/>
    </xf>
    <xf numFmtId="1" fontId="4" fillId="4" borderId="26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15" sqref="A15:A16"/>
    </sheetView>
  </sheetViews>
  <sheetFormatPr defaultRowHeight="15" x14ac:dyDescent="0.25"/>
  <cols>
    <col min="1" max="1" width="30.85546875" customWidth="1"/>
    <col min="2" max="2" width="24.28515625" customWidth="1"/>
    <col min="3" max="3" width="22" customWidth="1"/>
    <col min="4" max="4" width="20.85546875" customWidth="1"/>
    <col min="5" max="5" width="21.85546875" customWidth="1"/>
  </cols>
  <sheetData>
    <row r="1" spans="1:5" ht="16.5" thickTop="1" thickBot="1" x14ac:dyDescent="0.3">
      <c r="A1" s="59" t="s">
        <v>78</v>
      </c>
      <c r="B1" s="60"/>
      <c r="C1" s="60"/>
      <c r="D1" s="61"/>
    </row>
    <row r="2" spans="1:5" ht="16.5" thickTop="1" thickBot="1" x14ac:dyDescent="0.3">
      <c r="A2" s="62" t="s">
        <v>64</v>
      </c>
      <c r="B2" s="63"/>
      <c r="C2" s="25" t="s">
        <v>65</v>
      </c>
      <c r="D2" s="25" t="s">
        <v>67</v>
      </c>
    </row>
    <row r="3" spans="1:5" ht="19.5" thickTop="1" x14ac:dyDescent="0.3">
      <c r="A3" s="35" t="s">
        <v>7</v>
      </c>
      <c r="B3" s="28">
        <f>IF(D3&gt;1,MROUND((C3*D3*0.0333)+C3,5),C3)</f>
        <v>115</v>
      </c>
      <c r="C3" s="29">
        <v>95</v>
      </c>
      <c r="D3" s="29">
        <v>7</v>
      </c>
      <c r="E3" s="2"/>
    </row>
    <row r="4" spans="1:5" x14ac:dyDescent="0.25">
      <c r="A4" s="36" t="s">
        <v>6</v>
      </c>
      <c r="B4" s="30">
        <f>IF(D4&gt;1,MROUND((C4*D4*0.0333)+C4,5),C4)</f>
        <v>150</v>
      </c>
      <c r="C4" s="31">
        <v>130</v>
      </c>
      <c r="D4" s="31">
        <v>5</v>
      </c>
    </row>
    <row r="5" spans="1:5" x14ac:dyDescent="0.25">
      <c r="A5" s="36" t="s">
        <v>66</v>
      </c>
      <c r="B5" s="30">
        <f>IF(D5&gt;1,MROUND((C5*D5*0.0333)+C5,5),C5)</f>
        <v>80</v>
      </c>
      <c r="C5" s="31">
        <v>65</v>
      </c>
      <c r="D5" s="31">
        <v>7</v>
      </c>
    </row>
    <row r="6" spans="1:5" ht="15.75" thickBot="1" x14ac:dyDescent="0.3">
      <c r="A6" s="37" t="s">
        <v>4</v>
      </c>
      <c r="B6" s="32">
        <f>IF(D6&gt;1,MROUND((C6*D6*0.0333)+C6,5),C6)</f>
        <v>205</v>
      </c>
      <c r="C6" s="33">
        <v>175</v>
      </c>
      <c r="D6" s="33">
        <v>5</v>
      </c>
    </row>
    <row r="7" spans="1:5" ht="15.75" thickTop="1" x14ac:dyDescent="0.25">
      <c r="A7" s="26"/>
      <c r="B7" s="26"/>
      <c r="C7" s="26"/>
      <c r="D7" s="26"/>
    </row>
    <row r="8" spans="1:5" x14ac:dyDescent="0.25">
      <c r="A8" s="26"/>
      <c r="B8" s="26"/>
      <c r="C8" s="26"/>
      <c r="D8" s="26"/>
    </row>
    <row r="9" spans="1:5" ht="15.75" thickBot="1" x14ac:dyDescent="0.3">
      <c r="A9" s="26"/>
      <c r="B9" s="26"/>
      <c r="C9" s="26"/>
      <c r="D9" s="26"/>
    </row>
    <row r="10" spans="1:5" ht="16.5" thickTop="1" thickBot="1" x14ac:dyDescent="0.3">
      <c r="A10" s="64" t="s">
        <v>68</v>
      </c>
      <c r="B10" s="65"/>
      <c r="C10" s="65"/>
      <c r="D10" s="66"/>
    </row>
    <row r="11" spans="1:5" ht="15.75" thickTop="1" x14ac:dyDescent="0.25">
      <c r="A11" s="34" t="s">
        <v>69</v>
      </c>
      <c r="B11" s="34" t="s">
        <v>4</v>
      </c>
      <c r="C11" s="34" t="s">
        <v>5</v>
      </c>
      <c r="D11" s="34" t="s">
        <v>6</v>
      </c>
    </row>
    <row r="12" spans="1:5" ht="15.75" thickBot="1" x14ac:dyDescent="0.3">
      <c r="A12" s="27">
        <f>MROUND(B5*90%,5)</f>
        <v>70</v>
      </c>
      <c r="B12" s="27">
        <f>MROUND(B6*90%,5)</f>
        <v>185</v>
      </c>
      <c r="C12" s="27">
        <f>MROUND(B3*90%,5)</f>
        <v>105</v>
      </c>
      <c r="D12" s="27">
        <f>MROUND((B4*90%),5)</f>
        <v>135</v>
      </c>
    </row>
    <row r="13" spans="1:5" ht="15.75" thickTop="1" x14ac:dyDescent="0.25"/>
    <row r="17" spans="1:3" x14ac:dyDescent="0.25">
      <c r="A17" s="1"/>
    </row>
    <row r="19" spans="1:3" x14ac:dyDescent="0.25">
      <c r="C19" s="19"/>
    </row>
  </sheetData>
  <mergeCells count="3">
    <mergeCell ref="A1:D1"/>
    <mergeCell ref="A2:B2"/>
    <mergeCell ref="A10:D10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E21" sqref="E21"/>
    </sheetView>
  </sheetViews>
  <sheetFormatPr defaultRowHeight="15" x14ac:dyDescent="0.25"/>
  <cols>
    <col min="1" max="1" width="16.5703125" bestFit="1" customWidth="1"/>
    <col min="2" max="2" width="12.140625" bestFit="1" customWidth="1"/>
    <col min="3" max="3" width="12.28515625" customWidth="1"/>
    <col min="4" max="4" width="12.140625" bestFit="1" customWidth="1"/>
    <col min="5" max="5" width="12.28515625" customWidth="1"/>
    <col min="6" max="6" width="11.140625" bestFit="1" customWidth="1"/>
    <col min="7" max="7" width="12.28515625" customWidth="1"/>
    <col min="8" max="8" width="12.140625" bestFit="1" customWidth="1"/>
    <col min="9" max="9" width="12.28515625" customWidth="1"/>
  </cols>
  <sheetData>
    <row r="1" spans="1:9" ht="15.75" thickBot="1" x14ac:dyDescent="0.3"/>
    <row r="2" spans="1:9" x14ac:dyDescent="0.25">
      <c r="A2" s="9"/>
      <c r="B2" s="85" t="s">
        <v>71</v>
      </c>
      <c r="C2" s="86"/>
      <c r="D2" s="85" t="s">
        <v>71</v>
      </c>
      <c r="E2" s="86"/>
      <c r="F2" s="78" t="s">
        <v>0</v>
      </c>
      <c r="G2" s="79"/>
      <c r="H2" s="78" t="s">
        <v>0</v>
      </c>
      <c r="I2" s="79"/>
    </row>
    <row r="3" spans="1:9" ht="15.75" thickBot="1" x14ac:dyDescent="0.3">
      <c r="A3" s="10"/>
      <c r="B3" s="89" t="s">
        <v>7</v>
      </c>
      <c r="C3" s="90"/>
      <c r="D3" s="87" t="s">
        <v>4</v>
      </c>
      <c r="E3" s="88"/>
      <c r="F3" s="80" t="s">
        <v>8</v>
      </c>
      <c r="G3" s="81"/>
      <c r="H3" s="80" t="s">
        <v>6</v>
      </c>
      <c r="I3" s="81"/>
    </row>
    <row r="4" spans="1:9" ht="16.5" thickTop="1" thickBot="1" x14ac:dyDescent="0.3">
      <c r="A4" s="38" t="s">
        <v>9</v>
      </c>
      <c r="B4" s="82" t="str">
        <f>"5x10@"&amp;MROUND(Maxs!$C$12*60%,5)</f>
        <v>5x10@65</v>
      </c>
      <c r="C4" s="84"/>
      <c r="D4" s="82" t="str">
        <f>"5x10@"&amp;MROUND(Maxs!B12*60%,5)</f>
        <v>5x10@110</v>
      </c>
      <c r="E4" s="83"/>
      <c r="F4" s="82" t="str">
        <f>"5x10@"&amp;MROUND(Maxs!A12*60%,5)</f>
        <v>5x10@40</v>
      </c>
      <c r="G4" s="83"/>
      <c r="H4" s="82" t="str">
        <f>"5x10@"&amp;MROUND(Maxs!D12*60%,5)</f>
        <v>5x10@80</v>
      </c>
      <c r="I4" s="83"/>
    </row>
    <row r="5" spans="1:9" ht="15.75" thickTop="1" x14ac:dyDescent="0.25">
      <c r="A5" s="39" t="s">
        <v>10</v>
      </c>
      <c r="B5" s="69" t="str">
        <f>"1x5@"&amp;MROUND(Maxs!$C$12*55%,5)</f>
        <v>1x5@60</v>
      </c>
      <c r="C5" s="77"/>
      <c r="D5" s="69" t="str">
        <f>"1x5@"&amp;MROUND(Maxs!B12*55%,5)</f>
        <v>1x5@100</v>
      </c>
      <c r="E5" s="70"/>
      <c r="F5" s="69" t="str">
        <f>"1x5@"&amp;MROUND(Maxs!A12*55%,5)</f>
        <v>1x5@40</v>
      </c>
      <c r="G5" s="70"/>
      <c r="H5" s="69" t="str">
        <f>"1x5@"&amp;MROUND(Maxs!D12*55%,5)</f>
        <v>1x5@75</v>
      </c>
      <c r="I5" s="70"/>
    </row>
    <row r="6" spans="1:9" x14ac:dyDescent="0.25">
      <c r="A6" s="40"/>
      <c r="B6" s="71" t="str">
        <f>"1x5@"&amp;MROUND(Maxs!$C$12*62.5%,5)</f>
        <v>1x5@65</v>
      </c>
      <c r="C6" s="75"/>
      <c r="D6" s="71" t="str">
        <f>"1x5@"&amp;MROUND(Maxs!B12*62.5%,5)</f>
        <v>1x5@115</v>
      </c>
      <c r="E6" s="72"/>
      <c r="F6" s="71" t="str">
        <f>"1x5@"&amp;MROUND(Maxs!A12*62.5%,5)</f>
        <v>1x5@45</v>
      </c>
      <c r="G6" s="72"/>
      <c r="H6" s="71" t="str">
        <f>"1x5@"&amp;MROUND(Maxs!D12*62.5%,5)</f>
        <v>1x5@85</v>
      </c>
      <c r="I6" s="72"/>
    </row>
    <row r="7" spans="1:9" ht="15.75" thickBot="1" x14ac:dyDescent="0.3">
      <c r="A7" s="41"/>
      <c r="B7" s="73" t="str">
        <f>"3x10@"&amp;MROUND(Maxs!$C$12*67.5%,5)</f>
        <v>3x10@70</v>
      </c>
      <c r="C7" s="76"/>
      <c r="D7" s="73" t="str">
        <f>"3x10@"&amp;MROUND(Maxs!B12*67.5%,5)</f>
        <v>3x10@125</v>
      </c>
      <c r="E7" s="74"/>
      <c r="F7" s="73" t="str">
        <f>"3x10@"&amp;MROUND(Maxs!A12*67.5%,5)</f>
        <v>3x10@45</v>
      </c>
      <c r="G7" s="74"/>
      <c r="H7" s="73" t="str">
        <f>"3x10@"&amp;MROUND(Maxs!D12*67.5%,5)</f>
        <v>3x10@90</v>
      </c>
      <c r="I7" s="74"/>
    </row>
    <row r="8" spans="1:9" ht="15.75" thickTop="1" x14ac:dyDescent="0.25">
      <c r="A8" s="39" t="s">
        <v>11</v>
      </c>
      <c r="B8" s="69" t="str">
        <f>"1x5@"&amp;MROUND(Maxs!$C$12*50%,5)</f>
        <v>1x5@55</v>
      </c>
      <c r="C8" s="77"/>
      <c r="D8" s="69" t="str">
        <f>"1x5@"&amp;MROUND(Maxs!B12*50%,5)</f>
        <v>1x5@95</v>
      </c>
      <c r="E8" s="70"/>
      <c r="F8" s="69" t="str">
        <f>"1x5@"&amp;MROUND(Maxs!A12*50%,5)</f>
        <v>1x5@35</v>
      </c>
      <c r="G8" s="70"/>
      <c r="H8" s="69" t="str">
        <f>"1x5@"&amp;MROUND(Maxs!D12*50%,5)</f>
        <v>1x5@70</v>
      </c>
      <c r="I8" s="70"/>
    </row>
    <row r="9" spans="1:9" x14ac:dyDescent="0.25">
      <c r="A9" s="42"/>
      <c r="B9" s="71" t="str">
        <f>"1x3@"&amp;MROUND(Maxs!$C$12*60%,5)</f>
        <v>1x3@65</v>
      </c>
      <c r="C9" s="75"/>
      <c r="D9" s="71" t="str">
        <f>"1x3@"&amp;MROUND(Maxs!B12*60%,5)</f>
        <v>1x3@110</v>
      </c>
      <c r="E9" s="72"/>
      <c r="F9" s="71" t="str">
        <f>"1x3@"&amp;MROUND(Maxs!A12*60%,5)</f>
        <v>1x3@40</v>
      </c>
      <c r="G9" s="72"/>
      <c r="H9" s="71" t="str">
        <f>"1x3@"&amp;MROUND(Maxs!D12*60%,5)</f>
        <v>1x3@80</v>
      </c>
      <c r="I9" s="72"/>
    </row>
    <row r="10" spans="1:9" x14ac:dyDescent="0.25">
      <c r="A10" s="42"/>
      <c r="B10" s="71" t="str">
        <f>"1x1@"&amp;MROUND(Maxs!$C$12*70%,5)</f>
        <v>1x1@75</v>
      </c>
      <c r="C10" s="75"/>
      <c r="D10" s="71" t="str">
        <f>"1x1@"&amp;MROUND(Maxs!B12*70%,5)</f>
        <v>1x1@130</v>
      </c>
      <c r="E10" s="72"/>
      <c r="F10" s="71" t="str">
        <f>"1x1@"&amp;MROUND(Maxs!A12*70%,5)</f>
        <v>1x1@50</v>
      </c>
      <c r="G10" s="72"/>
      <c r="H10" s="71" t="str">
        <f>"1x1@"&amp;MROUND(Maxs!D12*70%,5)</f>
        <v>1x1@95</v>
      </c>
      <c r="I10" s="72"/>
    </row>
    <row r="11" spans="1:9" ht="15.75" thickBot="1" x14ac:dyDescent="0.3">
      <c r="A11" s="42"/>
      <c r="B11" s="11"/>
      <c r="C11" s="6" t="s">
        <v>70</v>
      </c>
      <c r="D11" s="11"/>
      <c r="E11" s="6" t="s">
        <v>70</v>
      </c>
      <c r="F11" s="11"/>
      <c r="G11" s="6" t="s">
        <v>70</v>
      </c>
      <c r="H11" s="11"/>
      <c r="I11" s="6" t="s">
        <v>70</v>
      </c>
    </row>
    <row r="12" spans="1:9" ht="16.5" thickTop="1" thickBot="1" x14ac:dyDescent="0.3">
      <c r="A12" s="43"/>
      <c r="B12" s="12" t="str">
        <f>"1xAMAP@"&amp;MROUND(Maxs!$C$12*75%,5)</f>
        <v>1xAMAP@80</v>
      </c>
      <c r="C12" s="7">
        <v>11</v>
      </c>
      <c r="D12" s="13" t="str">
        <f>"1xAMAP@"&amp;MROUND(Maxs!B12*75%,5)</f>
        <v>1xAMAP@140</v>
      </c>
      <c r="E12" s="7">
        <v>11</v>
      </c>
      <c r="F12" s="13" t="str">
        <f>"1xAMAP@"&amp;MROUND(Maxs!A12*75%,5)</f>
        <v>1xAMAP@55</v>
      </c>
      <c r="G12" s="13">
        <v>11</v>
      </c>
      <c r="H12" s="13" t="str">
        <f>"1xAMAP@"&amp;MROUND(Maxs!D12*75%,5)</f>
        <v>1xAMAP@100</v>
      </c>
      <c r="I12" s="13">
        <v>11</v>
      </c>
    </row>
    <row r="13" spans="1:9" ht="15.75" thickTop="1" x14ac:dyDescent="0.25">
      <c r="A13" s="39" t="s">
        <v>12</v>
      </c>
      <c r="B13" s="69" t="str">
        <f>"1x5@"&amp;MROUND(Maxs!$C$12*40%,5)</f>
        <v>1x5@40</v>
      </c>
      <c r="C13" s="77"/>
      <c r="D13" s="69" t="str">
        <f>"1x5@"&amp;MROUND(Maxs!$B$12*40%,5)</f>
        <v>1x5@75</v>
      </c>
      <c r="E13" s="70"/>
      <c r="F13" s="69" t="str">
        <f>"1x5@"&amp;MROUND(Maxs!$A$12*40%,5)</f>
        <v>1x5@30</v>
      </c>
      <c r="G13" s="70"/>
      <c r="H13" s="69" t="str">
        <f>"1x5@"&amp;MROUND(Maxs!$D$12*40%,5)</f>
        <v>1x5@55</v>
      </c>
      <c r="I13" s="70"/>
    </row>
    <row r="14" spans="1:9" x14ac:dyDescent="0.25">
      <c r="A14" s="40"/>
      <c r="B14" s="71" t="str">
        <f>"1x5@"&amp;MROUND(Maxs!$C$12*50%,5)</f>
        <v>1x5@55</v>
      </c>
      <c r="C14" s="75"/>
      <c r="D14" s="71" t="str">
        <f>"1x5@"&amp;MROUND(Maxs!$B$12*50%,5)</f>
        <v>1x5@95</v>
      </c>
      <c r="E14" s="72"/>
      <c r="F14" s="71" t="str">
        <f>"1x5@"&amp;MROUND(Maxs!$A$12*50%,5)</f>
        <v>1x5@35</v>
      </c>
      <c r="G14" s="72"/>
      <c r="H14" s="71" t="str">
        <f>"1x5@"&amp;MROUND(Maxs!$D$12*50%,5)</f>
        <v>1x5@70</v>
      </c>
      <c r="I14" s="72"/>
    </row>
    <row r="15" spans="1:9" ht="15.75" thickBot="1" x14ac:dyDescent="0.3">
      <c r="A15" s="41"/>
      <c r="B15" s="73" t="str">
        <f>"1x5@"&amp;MROUND(Maxs!$C$12*60%,5)</f>
        <v>1x5@65</v>
      </c>
      <c r="C15" s="76"/>
      <c r="D15" s="73" t="str">
        <f>"1x5@"&amp;MROUND(Maxs!$B$12*60%,5)</f>
        <v>1x5@110</v>
      </c>
      <c r="E15" s="74"/>
      <c r="F15" s="73" t="str">
        <f>"1x5@"&amp;MROUND(Maxs!$A$12*60%,5)</f>
        <v>1x5@40</v>
      </c>
      <c r="G15" s="74"/>
      <c r="H15" s="73" t="str">
        <f>"1x5@"&amp;MROUND(Maxs!$D$12*60%,5)</f>
        <v>1x5@80</v>
      </c>
      <c r="I15" s="74"/>
    </row>
    <row r="16" spans="1:9" ht="16.5" thickTop="1" thickBot="1" x14ac:dyDescent="0.3"/>
    <row r="17" spans="1:5" ht="16.5" thickTop="1" thickBot="1" x14ac:dyDescent="0.3">
      <c r="A17" s="67" t="s">
        <v>72</v>
      </c>
      <c r="B17" s="68"/>
      <c r="D17" s="67" t="s">
        <v>79</v>
      </c>
      <c r="E17" s="68"/>
    </row>
    <row r="18" spans="1:5" ht="15.75" thickTop="1" x14ac:dyDescent="0.25">
      <c r="A18" s="44" t="s">
        <v>77</v>
      </c>
      <c r="B18" s="20">
        <f>MROUND(((MROUND(Maxs!$C$12*75%,5))*0.0333)*C12+MROUND(Maxs!$C$12*75%,5),5)</f>
        <v>110</v>
      </c>
      <c r="D18" s="44" t="s">
        <v>7</v>
      </c>
      <c r="E18" s="20">
        <f>MROUND(IF(C12&gt;10, ((C12-10)*2.5)+Maxs!C12, Maxs!C12),5)</f>
        <v>110</v>
      </c>
    </row>
    <row r="19" spans="1:5" x14ac:dyDescent="0.25">
      <c r="A19" s="45" t="s">
        <v>4</v>
      </c>
      <c r="B19" s="21">
        <f>MROUND((MROUND(Maxs!$B$12*75%,5)*0.0333)*$E$12+MROUND(Maxs!$B$12*75%,5),5)</f>
        <v>190</v>
      </c>
      <c r="D19" s="45" t="s">
        <v>4</v>
      </c>
      <c r="E19" s="20">
        <f>MROUND(IF(E12&gt;10, ((E12-10)*5)+Maxs!B12, Maxs!B12),5)</f>
        <v>190</v>
      </c>
    </row>
    <row r="20" spans="1:5" x14ac:dyDescent="0.25">
      <c r="A20" s="45" t="s">
        <v>8</v>
      </c>
      <c r="B20" s="21">
        <f>MROUND((MROUND(Maxs!$A$12*75%,5)*0.0333)*$G$12+MROUND(Maxs!$A$12*75%,5),5)</f>
        <v>75</v>
      </c>
      <c r="D20" s="45" t="s">
        <v>8</v>
      </c>
      <c r="E20" s="20">
        <f>MROUND(IF(G12&gt;10, ((G12-10)*2.5)+Maxs!A12, Maxs!A12),5)</f>
        <v>75</v>
      </c>
    </row>
    <row r="21" spans="1:5" ht="15.75" thickBot="1" x14ac:dyDescent="0.3">
      <c r="A21" s="46" t="s">
        <v>6</v>
      </c>
      <c r="B21" s="22">
        <f>MROUND((MROUND(Maxs!$D$12*75%,5)*0.0333)*$I$12+MROUND(Maxs!$D$12*75%,5),5)</f>
        <v>135</v>
      </c>
      <c r="D21" s="46" t="s">
        <v>6</v>
      </c>
      <c r="E21" s="58">
        <f>MROUND(IF(I12&gt;10, ((I12-10)*5)+Maxs!D12, Maxs!D12),5)</f>
        <v>140</v>
      </c>
    </row>
    <row r="22" spans="1:5" ht="15.75" thickTop="1" x14ac:dyDescent="0.25"/>
  </sheetData>
  <mergeCells count="50">
    <mergeCell ref="B4:C4"/>
    <mergeCell ref="B5:C5"/>
    <mergeCell ref="B6:C6"/>
    <mergeCell ref="B7:C7"/>
    <mergeCell ref="D2:E2"/>
    <mergeCell ref="D3:E3"/>
    <mergeCell ref="B2:C2"/>
    <mergeCell ref="B3:C3"/>
    <mergeCell ref="D4:E4"/>
    <mergeCell ref="D5:E5"/>
    <mergeCell ref="D6:E6"/>
    <mergeCell ref="D7:E7"/>
    <mergeCell ref="D8:E8"/>
    <mergeCell ref="H2:I2"/>
    <mergeCell ref="H3:I3"/>
    <mergeCell ref="H4:I4"/>
    <mergeCell ref="H5:I5"/>
    <mergeCell ref="H6:I6"/>
    <mergeCell ref="F7:G7"/>
    <mergeCell ref="F8:G8"/>
    <mergeCell ref="F2:G2"/>
    <mergeCell ref="F3:G3"/>
    <mergeCell ref="F4:G4"/>
    <mergeCell ref="F5:G5"/>
    <mergeCell ref="F6:G6"/>
    <mergeCell ref="H13:I13"/>
    <mergeCell ref="H14:I14"/>
    <mergeCell ref="H15:I15"/>
    <mergeCell ref="H7:I7"/>
    <mergeCell ref="F9:G9"/>
    <mergeCell ref="F10:G10"/>
    <mergeCell ref="F13:G13"/>
    <mergeCell ref="F14:G14"/>
    <mergeCell ref="F15:G15"/>
    <mergeCell ref="D17:E17"/>
    <mergeCell ref="A17:B17"/>
    <mergeCell ref="H8:I8"/>
    <mergeCell ref="H9:I9"/>
    <mergeCell ref="H10:I10"/>
    <mergeCell ref="D13:E13"/>
    <mergeCell ref="D14:E14"/>
    <mergeCell ref="D15:E15"/>
    <mergeCell ref="B14:C14"/>
    <mergeCell ref="B15:C15"/>
    <mergeCell ref="D9:E9"/>
    <mergeCell ref="D10:E10"/>
    <mergeCell ref="B8:C8"/>
    <mergeCell ref="B9:C9"/>
    <mergeCell ref="B10:C10"/>
    <mergeCell ref="B13:C1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E22" sqref="E22"/>
    </sheetView>
  </sheetViews>
  <sheetFormatPr defaultRowHeight="15" x14ac:dyDescent="0.25"/>
  <cols>
    <col min="1" max="1" width="16.5703125" bestFit="1" customWidth="1"/>
    <col min="2" max="2" width="12.140625" bestFit="1" customWidth="1"/>
    <col min="3" max="3" width="12.28515625" bestFit="1" customWidth="1"/>
    <col min="4" max="4" width="12.140625" bestFit="1" customWidth="1"/>
    <col min="5" max="5" width="12.28515625" bestFit="1" customWidth="1"/>
    <col min="6" max="6" width="11.140625" bestFit="1" customWidth="1"/>
    <col min="7" max="7" width="12.28515625" bestFit="1" customWidth="1"/>
    <col min="8" max="8" width="12.140625" bestFit="1" customWidth="1"/>
    <col min="9" max="9" width="12.28515625" bestFit="1" customWidth="1"/>
  </cols>
  <sheetData>
    <row r="1" spans="1:9" ht="15.75" thickBot="1" x14ac:dyDescent="0.3"/>
    <row r="2" spans="1:9" x14ac:dyDescent="0.25">
      <c r="A2" s="9"/>
      <c r="B2" s="85" t="s">
        <v>1</v>
      </c>
      <c r="C2" s="86"/>
      <c r="D2" s="85" t="s">
        <v>1</v>
      </c>
      <c r="E2" s="86"/>
      <c r="F2" s="78" t="s">
        <v>1</v>
      </c>
      <c r="G2" s="79"/>
      <c r="H2" s="78" t="s">
        <v>1</v>
      </c>
      <c r="I2" s="79"/>
    </row>
    <row r="3" spans="1:9" ht="15.75" thickBot="1" x14ac:dyDescent="0.3">
      <c r="A3" s="10"/>
      <c r="B3" s="89" t="s">
        <v>7</v>
      </c>
      <c r="C3" s="95"/>
      <c r="D3" s="89" t="s">
        <v>4</v>
      </c>
      <c r="E3" s="95"/>
      <c r="F3" s="80" t="s">
        <v>8</v>
      </c>
      <c r="G3" s="81"/>
      <c r="H3" s="80" t="s">
        <v>6</v>
      </c>
      <c r="I3" s="81"/>
    </row>
    <row r="4" spans="1:9" ht="16.5" thickTop="1" thickBot="1" x14ac:dyDescent="0.3">
      <c r="A4" s="38" t="s">
        <v>13</v>
      </c>
      <c r="B4" s="82" t="str">
        <f>"5x8@"&amp;MROUND('10s wave'!E18*65%,5)</f>
        <v>5x8@70</v>
      </c>
      <c r="C4" s="83"/>
      <c r="D4" s="82" t="str">
        <f>"5x8@"&amp;MROUND('10s wave'!E19*65%,5)</f>
        <v>5x8@125</v>
      </c>
      <c r="E4" s="83"/>
      <c r="F4" s="82" t="str">
        <f>"5x8@"&amp;MROUND('10s wave'!E20*65%,5)</f>
        <v>5x8@50</v>
      </c>
      <c r="G4" s="83"/>
      <c r="H4" s="82" t="str">
        <f>"5x8@"&amp;MROUND('10s wave'!E21*65%,5)</f>
        <v>5x8@90</v>
      </c>
      <c r="I4" s="83"/>
    </row>
    <row r="5" spans="1:9" ht="15.75" thickTop="1" x14ac:dyDescent="0.25">
      <c r="A5" s="39" t="s">
        <v>14</v>
      </c>
      <c r="B5" s="69" t="str">
        <f>"1x3@"&amp;MROUND('10s wave'!E18*60%,5)</f>
        <v>1x3@65</v>
      </c>
      <c r="C5" s="70"/>
      <c r="D5" s="69" t="str">
        <f>"1x3@"&amp;MROUND('10s wave'!E19*60%,5)</f>
        <v>1x3@115</v>
      </c>
      <c r="E5" s="70"/>
      <c r="F5" s="69" t="str">
        <f>"1x3@"&amp;MROUND('10s wave'!E20*60%,5)</f>
        <v>1x3@45</v>
      </c>
      <c r="G5" s="70"/>
      <c r="H5" s="69" t="str">
        <f>"1x3@"&amp;MROUND('10s wave'!E21*60%,5)</f>
        <v>1x3@85</v>
      </c>
      <c r="I5" s="70"/>
    </row>
    <row r="6" spans="1:9" x14ac:dyDescent="0.25">
      <c r="A6" s="40"/>
      <c r="B6" s="71" t="str">
        <f>"1x3@"&amp;MROUND('10s wave'!E18*67.5%,5)</f>
        <v>1x3@75</v>
      </c>
      <c r="C6" s="72"/>
      <c r="D6" s="71" t="str">
        <f>"1x3@"&amp;MROUND('10s wave'!E19*67.5%,5)</f>
        <v>1x3@130</v>
      </c>
      <c r="E6" s="72"/>
      <c r="F6" s="71" t="str">
        <f>"1x3@"&amp;MROUND('10s wave'!E20*67.5%,5)</f>
        <v>1x3@50</v>
      </c>
      <c r="G6" s="72"/>
      <c r="H6" s="71" t="str">
        <f>"1x3@"&amp;MROUND('10s wave'!E21*67.5%,5)</f>
        <v>1x3@95</v>
      </c>
      <c r="I6" s="72"/>
    </row>
    <row r="7" spans="1:9" ht="15.75" thickBot="1" x14ac:dyDescent="0.3">
      <c r="A7" s="41"/>
      <c r="B7" s="73" t="str">
        <f>"3x8@"&amp;MROUND('10s wave'!E18*72.5%,5)</f>
        <v>3x8@80</v>
      </c>
      <c r="C7" s="74"/>
      <c r="D7" s="73" t="str">
        <f>"3x8@"&amp;MROUND('10s wave'!E19*72.5%,5)</f>
        <v>3x8@140</v>
      </c>
      <c r="E7" s="74"/>
      <c r="F7" s="73" t="str">
        <f>"3x8@"&amp;MROUND('10s wave'!E20*72.5%,5)</f>
        <v>3x8@55</v>
      </c>
      <c r="G7" s="74"/>
      <c r="H7" s="73" t="str">
        <f>"3x8@"&amp;MROUND('10s wave'!E21*72.5%,5)</f>
        <v>3x8@100</v>
      </c>
      <c r="I7" s="74"/>
    </row>
    <row r="8" spans="1:9" ht="15.75" thickTop="1" x14ac:dyDescent="0.25">
      <c r="A8" s="39" t="s">
        <v>15</v>
      </c>
      <c r="B8" s="69" t="str">
        <f>"1x5@"&amp;MROUND('10s wave'!E18*50%,5)</f>
        <v>1x5@55</v>
      </c>
      <c r="C8" s="70"/>
      <c r="D8" s="69" t="str">
        <f>"1x5@"&amp;MROUND('10s wave'!E19*50%,5)</f>
        <v>1x5@95</v>
      </c>
      <c r="E8" s="70"/>
      <c r="F8" s="69" t="str">
        <f>"1x5@"&amp;MROUND('10s wave'!E20*50%,5)</f>
        <v>1x5@40</v>
      </c>
      <c r="G8" s="70"/>
      <c r="H8" s="69" t="str">
        <f>"1x5@"&amp;MROUND('10s wave'!E21*50%,5)</f>
        <v>1x5@70</v>
      </c>
      <c r="I8" s="70"/>
    </row>
    <row r="9" spans="1:9" x14ac:dyDescent="0.25">
      <c r="A9" s="42"/>
      <c r="B9" s="71" t="str">
        <f>"1x3@"&amp;MROUND('10s wave'!E18*60%,5)</f>
        <v>1x3@65</v>
      </c>
      <c r="C9" s="72"/>
      <c r="D9" s="71" t="str">
        <f>"1x3@"&amp;MROUND('10s wave'!E19*60%,5)</f>
        <v>1x3@115</v>
      </c>
      <c r="E9" s="72"/>
      <c r="F9" s="71" t="str">
        <f>"1x3@"&amp;MROUND('10s wave'!E20*60%,5)</f>
        <v>1x3@45</v>
      </c>
      <c r="G9" s="72"/>
      <c r="H9" s="71" t="str">
        <f>"1x3@"&amp;MROUND('10s wave'!E21*60%,5)</f>
        <v>1x3@85</v>
      </c>
      <c r="I9" s="72"/>
    </row>
    <row r="10" spans="1:9" x14ac:dyDescent="0.25">
      <c r="A10" s="42"/>
      <c r="B10" s="71" t="str">
        <f>"1x2@"&amp;MROUND('10s wave'!E18*70%,5)</f>
        <v>1x2@75</v>
      </c>
      <c r="C10" s="72"/>
      <c r="D10" s="71" t="str">
        <f>"1x2@"&amp;MROUND('10s wave'!E19*70%,5)</f>
        <v>1x2@135</v>
      </c>
      <c r="E10" s="72"/>
      <c r="F10" s="71" t="str">
        <f>"1x2@"&amp;MROUND('10s wave'!E20*70%,5)</f>
        <v>1x2@55</v>
      </c>
      <c r="G10" s="72"/>
      <c r="H10" s="71" t="str">
        <f>"1x2@"&amp;MROUND('10s wave'!E21*70%,5)</f>
        <v>1x2@100</v>
      </c>
      <c r="I10" s="72"/>
    </row>
    <row r="11" spans="1:9" x14ac:dyDescent="0.25">
      <c r="A11" s="42"/>
      <c r="B11" s="93" t="str">
        <f>"1x1@"&amp;MROUND('10s wave'!E18*75%,5)</f>
        <v>1x1@85</v>
      </c>
      <c r="C11" s="94"/>
      <c r="D11" s="93" t="str">
        <f>"1x1@"&amp;MROUND('10s wave'!E19*75%,5)</f>
        <v>1x1@145</v>
      </c>
      <c r="E11" s="94"/>
      <c r="F11" s="93" t="str">
        <f>"1x1@"&amp;MROUND('10s wave'!E19*75%,5)</f>
        <v>1x1@145</v>
      </c>
      <c r="G11" s="94"/>
      <c r="H11" s="93" t="str">
        <f>"1x1@"&amp;MROUND('10s wave'!E21*75%,5)</f>
        <v>1x1@105</v>
      </c>
      <c r="I11" s="94"/>
    </row>
    <row r="12" spans="1:9" ht="15.75" thickBot="1" x14ac:dyDescent="0.3">
      <c r="A12" s="42"/>
      <c r="B12" s="11"/>
      <c r="C12" s="6" t="s">
        <v>70</v>
      </c>
      <c r="D12" s="11"/>
      <c r="E12" s="6" t="s">
        <v>70</v>
      </c>
      <c r="F12" s="11"/>
      <c r="G12" s="6" t="s">
        <v>70</v>
      </c>
      <c r="H12" s="11"/>
      <c r="I12" s="6" t="s">
        <v>70</v>
      </c>
    </row>
    <row r="13" spans="1:9" ht="16.5" thickTop="1" thickBot="1" x14ac:dyDescent="0.3">
      <c r="A13" s="43"/>
      <c r="B13" s="12" t="str">
        <f>"1xAMAP@"&amp;MROUND('10s wave'!E18*80%,5)</f>
        <v>1xAMAP@90</v>
      </c>
      <c r="C13" s="24">
        <v>9</v>
      </c>
      <c r="D13" s="13" t="str">
        <f>"1xAMAP@"&amp;MROUND('10s wave'!E19*80%,5)</f>
        <v>1xAMAP@150</v>
      </c>
      <c r="E13" s="7">
        <v>9</v>
      </c>
      <c r="F13" s="13" t="str">
        <f>"1xAMAP@"&amp;MROUND('10s wave'!E20*80%,5)</f>
        <v>1xAMAP@60</v>
      </c>
      <c r="G13" s="13">
        <v>9</v>
      </c>
      <c r="H13" s="13" t="str">
        <f>"1xAMAP@"&amp;MROUND('10s wave'!E21*80%,5)</f>
        <v>1xAMAP@110</v>
      </c>
      <c r="I13" s="13">
        <v>9</v>
      </c>
    </row>
    <row r="14" spans="1:9" ht="15.75" thickTop="1" x14ac:dyDescent="0.25">
      <c r="A14" s="39" t="s">
        <v>16</v>
      </c>
      <c r="B14" s="69" t="str">
        <f>"1x5@"&amp;MROUND('10s wave'!E18*40%,5)</f>
        <v>1x5@45</v>
      </c>
      <c r="C14" s="70"/>
      <c r="D14" s="69" t="str">
        <f>"1x5@"&amp;MROUND('10s wave'!E19*40%,5)</f>
        <v>1x5@75</v>
      </c>
      <c r="E14" s="70"/>
      <c r="F14" s="69" t="str">
        <f>"1x5@"&amp;MROUND('10s wave'!E20*40%,5)</f>
        <v>1x5@30</v>
      </c>
      <c r="G14" s="70"/>
      <c r="H14" s="69" t="str">
        <f>"1x5@"&amp;MROUND('10s wave'!E21*40%,5)</f>
        <v>1x5@55</v>
      </c>
      <c r="I14" s="70"/>
    </row>
    <row r="15" spans="1:9" x14ac:dyDescent="0.25">
      <c r="A15" s="40"/>
      <c r="B15" s="71" t="str">
        <f>"1x5@"&amp;MROUND('10s wave'!E18*50%,5)</f>
        <v>1x5@55</v>
      </c>
      <c r="C15" s="72"/>
      <c r="D15" s="71" t="str">
        <f>"1x5@"&amp;MROUND('10s wave'!E19*50%,5)</f>
        <v>1x5@95</v>
      </c>
      <c r="E15" s="72"/>
      <c r="F15" s="71" t="str">
        <f>"1x5@"&amp;MROUND('10s wave'!E20*50%,5)</f>
        <v>1x5@40</v>
      </c>
      <c r="G15" s="72"/>
      <c r="H15" s="71" t="str">
        <f>"1x5@"&amp;MROUND('10s wave'!E21*50%,5)</f>
        <v>1x5@70</v>
      </c>
      <c r="I15" s="72"/>
    </row>
    <row r="16" spans="1:9" ht="15.75" thickBot="1" x14ac:dyDescent="0.3">
      <c r="A16" s="41"/>
      <c r="B16" s="73" t="str">
        <f>"1x5@"&amp;MROUND('10s wave'!E18*60%,5)</f>
        <v>1x5@65</v>
      </c>
      <c r="C16" s="74"/>
      <c r="D16" s="73" t="str">
        <f>"1x5@"&amp;MROUND('10s wave'!E19*60%,5)</f>
        <v>1x5@115</v>
      </c>
      <c r="E16" s="74"/>
      <c r="F16" s="73" t="str">
        <f>"1x5@"&amp;MROUND('10s wave'!E20*60%,5)</f>
        <v>1x5@45</v>
      </c>
      <c r="G16" s="74"/>
      <c r="H16" s="73" t="str">
        <f>"1x5@"&amp;MROUND('10s wave'!E21*60%,5)</f>
        <v>1x5@85</v>
      </c>
      <c r="I16" s="74"/>
    </row>
    <row r="17" spans="1:9" ht="16.5" thickTop="1" thickBot="1" x14ac:dyDescent="0.3">
      <c r="B17" s="5"/>
      <c r="C17" s="5"/>
      <c r="D17" s="5"/>
      <c r="E17" s="5"/>
      <c r="F17" s="5"/>
      <c r="G17" s="5"/>
      <c r="H17" s="5"/>
      <c r="I17" s="5"/>
    </row>
    <row r="18" spans="1:9" ht="16.5" thickTop="1" thickBot="1" x14ac:dyDescent="0.3">
      <c r="A18" s="91" t="s">
        <v>73</v>
      </c>
      <c r="B18" s="92"/>
      <c r="D18" s="67" t="s">
        <v>79</v>
      </c>
      <c r="E18" s="68"/>
    </row>
    <row r="19" spans="1:9" ht="15.75" thickTop="1" x14ac:dyDescent="0.25">
      <c r="A19" s="44" t="s">
        <v>7</v>
      </c>
      <c r="B19" s="20">
        <f>MROUND(((MROUND('10s wave'!$B$18*75%,5))*0.0333)*C13+MROUND('10s wave'!$B$18*75%,5),5)</f>
        <v>110</v>
      </c>
      <c r="D19" s="44" t="s">
        <v>7</v>
      </c>
      <c r="E19" s="20">
        <f>MROUND(IF(C13&gt;8, ((C13-8)*2.5)+'10s wave'!E18, '10s wave'!E18),5)</f>
        <v>115</v>
      </c>
    </row>
    <row r="20" spans="1:9" x14ac:dyDescent="0.25">
      <c r="A20" s="45" t="s">
        <v>4</v>
      </c>
      <c r="B20" s="21">
        <f>MROUND((MROUND('10s wave'!B19*75%,5)*0.0333)*$E$13+MROUND('10s wave'!B19*75%,5),5)</f>
        <v>190</v>
      </c>
      <c r="D20" s="45" t="s">
        <v>4</v>
      </c>
      <c r="E20" s="20">
        <f>MROUND(IF(E13&gt;8, ((E13-8)*5)+'10s wave'!E19,'10s wave'!E19),5)</f>
        <v>195</v>
      </c>
    </row>
    <row r="21" spans="1:9" x14ac:dyDescent="0.25">
      <c r="A21" s="45" t="s">
        <v>8</v>
      </c>
      <c r="B21" s="21">
        <f>MROUND((MROUND('10s wave'!B20*75%,5)*0.0333)*$G$13+MROUND('10s wave'!B20*75%,5),5)</f>
        <v>70</v>
      </c>
      <c r="D21" s="45" t="s">
        <v>8</v>
      </c>
      <c r="E21" s="20">
        <f>MROUND(IF(G13&gt;8, ((G13-8)*2.5)+'10s wave'!E20,'10s wave'!E20),5)</f>
        <v>80</v>
      </c>
    </row>
    <row r="22" spans="1:9" ht="15.75" thickBot="1" x14ac:dyDescent="0.3">
      <c r="A22" s="46" t="s">
        <v>6</v>
      </c>
      <c r="B22" s="22">
        <f>MROUND((MROUND(Maxs!$D$12*75%,5)*0.0333)*$I$13+MROUND(Maxs!$D$12*75%,5),5)</f>
        <v>130</v>
      </c>
      <c r="D22" s="46" t="s">
        <v>6</v>
      </c>
      <c r="E22" s="58">
        <f>MROUND(IF(I13&gt;8, ((I13-8)*5)+'10s wave'!E21,'10s wave'!E21),5)</f>
        <v>145</v>
      </c>
    </row>
    <row r="23" spans="1:9" ht="15.75" thickTop="1" x14ac:dyDescent="0.25"/>
  </sheetData>
  <mergeCells count="54">
    <mergeCell ref="D18:E18"/>
    <mergeCell ref="B2:C2"/>
    <mergeCell ref="D2:E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D16:E16"/>
    <mergeCell ref="B8:C8"/>
    <mergeCell ref="D8:E8"/>
    <mergeCell ref="B9:C9"/>
    <mergeCell ref="D9:E9"/>
    <mergeCell ref="B10:C10"/>
    <mergeCell ref="D10:E10"/>
    <mergeCell ref="F2:G2"/>
    <mergeCell ref="F5:G5"/>
    <mergeCell ref="F8:G8"/>
    <mergeCell ref="H2:I2"/>
    <mergeCell ref="F3:G3"/>
    <mergeCell ref="H3:I3"/>
    <mergeCell ref="F4:G4"/>
    <mergeCell ref="H4:I4"/>
    <mergeCell ref="H5:I5"/>
    <mergeCell ref="F6:G6"/>
    <mergeCell ref="H6:I6"/>
    <mergeCell ref="F7:G7"/>
    <mergeCell ref="H7:I7"/>
    <mergeCell ref="H8:I8"/>
    <mergeCell ref="F9:G9"/>
    <mergeCell ref="H9:I9"/>
    <mergeCell ref="F10:G10"/>
    <mergeCell ref="H10:I10"/>
    <mergeCell ref="A18:B18"/>
    <mergeCell ref="H11:I11"/>
    <mergeCell ref="F11:G11"/>
    <mergeCell ref="D11:E11"/>
    <mergeCell ref="B11:C11"/>
    <mergeCell ref="F14:G14"/>
    <mergeCell ref="H14:I14"/>
    <mergeCell ref="F15:G15"/>
    <mergeCell ref="H15:I15"/>
    <mergeCell ref="F16:G16"/>
    <mergeCell ref="H16:I16"/>
    <mergeCell ref="B14:C14"/>
    <mergeCell ref="D14:E14"/>
    <mergeCell ref="B15:C15"/>
    <mergeCell ref="D15:E15"/>
    <mergeCell ref="B16:C16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E24" sqref="E24"/>
    </sheetView>
  </sheetViews>
  <sheetFormatPr defaultRowHeight="15" x14ac:dyDescent="0.25"/>
  <cols>
    <col min="1" max="1" width="17.5703125" bestFit="1" customWidth="1"/>
    <col min="2" max="2" width="12.140625" bestFit="1" customWidth="1"/>
    <col min="3" max="3" width="12.28515625" bestFit="1" customWidth="1"/>
    <col min="4" max="4" width="12.140625" bestFit="1" customWidth="1"/>
    <col min="5" max="5" width="12.28515625" bestFit="1" customWidth="1"/>
    <col min="6" max="6" width="11.140625" bestFit="1" customWidth="1"/>
    <col min="7" max="7" width="12.28515625" bestFit="1" customWidth="1"/>
    <col min="8" max="8" width="12.140625" bestFit="1" customWidth="1"/>
    <col min="9" max="9" width="12.28515625" bestFit="1" customWidth="1"/>
  </cols>
  <sheetData>
    <row r="1" spans="1:9" ht="15.75" thickBot="1" x14ac:dyDescent="0.3"/>
    <row r="2" spans="1:9" x14ac:dyDescent="0.25">
      <c r="A2" s="15"/>
      <c r="B2" s="98" t="s">
        <v>2</v>
      </c>
      <c r="C2" s="99"/>
      <c r="D2" s="98" t="s">
        <v>2</v>
      </c>
      <c r="E2" s="99"/>
      <c r="F2" s="98" t="s">
        <v>2</v>
      </c>
      <c r="G2" s="99"/>
      <c r="H2" s="98" t="s">
        <v>2</v>
      </c>
      <c r="I2" s="99"/>
    </row>
    <row r="3" spans="1:9" ht="15.75" thickBot="1" x14ac:dyDescent="0.3">
      <c r="A3" s="16"/>
      <c r="B3" s="100" t="s">
        <v>7</v>
      </c>
      <c r="C3" s="101"/>
      <c r="D3" s="100" t="s">
        <v>4</v>
      </c>
      <c r="E3" s="101"/>
      <c r="F3" s="100" t="s">
        <v>8</v>
      </c>
      <c r="G3" s="101"/>
      <c r="H3" s="100" t="s">
        <v>6</v>
      </c>
      <c r="I3" s="101"/>
    </row>
    <row r="4" spans="1:9" ht="16.5" thickTop="1" thickBot="1" x14ac:dyDescent="0.3">
      <c r="A4" s="47" t="s">
        <v>19</v>
      </c>
      <c r="B4" s="82" t="str">
        <f>"6x5@"&amp;MROUND('8s wave'!E19*70%,5)</f>
        <v>6x5@80</v>
      </c>
      <c r="C4" s="83"/>
      <c r="D4" s="82" t="str">
        <f>"6x5@"&amp;MROUND('8s wave'!E20*70%,5)</f>
        <v>6x5@135</v>
      </c>
      <c r="E4" s="83"/>
      <c r="F4" s="82" t="str">
        <f>"6x5@"&amp;MROUND('8s wave'!E21*70%,5)</f>
        <v>6x5@55</v>
      </c>
      <c r="G4" s="83"/>
      <c r="H4" s="82" t="str">
        <f>"6x5@"&amp;MROUND('8s wave'!E22*70%,5)</f>
        <v>6x5@100</v>
      </c>
      <c r="I4" s="83"/>
    </row>
    <row r="5" spans="1:9" ht="15.75" thickTop="1" x14ac:dyDescent="0.25">
      <c r="A5" s="39" t="s">
        <v>20</v>
      </c>
      <c r="B5" s="69" t="str">
        <f>"1x2@"&amp;MROUND('8s wave'!E19*65%,5)</f>
        <v>1x2@75</v>
      </c>
      <c r="C5" s="70"/>
      <c r="D5" s="69" t="str">
        <f>"1x2@"&amp;MROUND('8s wave'!E20*60%,5)</f>
        <v>1x2@115</v>
      </c>
      <c r="E5" s="70"/>
      <c r="F5" s="69" t="str">
        <f>"1x2@"&amp;MROUND('8s wave'!E21*60%,5)</f>
        <v>1x2@50</v>
      </c>
      <c r="G5" s="70"/>
      <c r="H5" s="69" t="str">
        <f>"1x2@"&amp;MROUND('8s wave'!E22*60%,5)</f>
        <v>1x2@85</v>
      </c>
      <c r="I5" s="70"/>
    </row>
    <row r="6" spans="1:9" x14ac:dyDescent="0.25">
      <c r="A6" s="40"/>
      <c r="B6" s="71" t="str">
        <f>"1x2@"&amp;MROUND('8s wave'!E19*72.5%,5)</f>
        <v>1x2@85</v>
      </c>
      <c r="C6" s="72"/>
      <c r="D6" s="71" t="str">
        <f>"1x2@"&amp;MROUND('8s wave'!E20*72.5%,5)</f>
        <v>1x2@140</v>
      </c>
      <c r="E6" s="72"/>
      <c r="F6" s="71" t="str">
        <f>"1x2@"&amp;MROUND('8s wave'!E21*72.5%,5)</f>
        <v>1x2@60</v>
      </c>
      <c r="G6" s="72"/>
      <c r="H6" s="71" t="str">
        <f>"1x2@"&amp;MROUND('8s wave'!E22*72.5%,5)</f>
        <v>1x2@105</v>
      </c>
      <c r="I6" s="72"/>
    </row>
    <row r="7" spans="1:9" ht="15.75" thickBot="1" x14ac:dyDescent="0.3">
      <c r="A7" s="41"/>
      <c r="B7" s="73" t="str">
        <f>"4x5@"&amp;MROUND('8s wave'!E19*77.5%,5)</f>
        <v>4x5@90</v>
      </c>
      <c r="C7" s="74"/>
      <c r="D7" s="73" t="str">
        <f>"4x5@"&amp;MROUND('8s wave'!E20*77.5%,5)</f>
        <v>4x5@150</v>
      </c>
      <c r="E7" s="74"/>
      <c r="F7" s="73" t="str">
        <f>"4x5@"&amp;MROUND('8s wave'!E21*77.5%,5)</f>
        <v>4x5@60</v>
      </c>
      <c r="G7" s="74"/>
      <c r="H7" s="73" t="str">
        <f>"4x5@"&amp;MROUND('8s wave'!E22*77.5%,5)</f>
        <v>4x5@110</v>
      </c>
      <c r="I7" s="74"/>
    </row>
    <row r="8" spans="1:9" ht="15.75" thickTop="1" x14ac:dyDescent="0.25">
      <c r="A8" s="40" t="s">
        <v>21</v>
      </c>
      <c r="B8" s="69" t="str">
        <f>"1x5@"&amp;MROUND('8s wave'!E19*50%,5)</f>
        <v>1x5@60</v>
      </c>
      <c r="C8" s="70"/>
      <c r="D8" s="69" t="str">
        <f>"1x5@"&amp;MROUND('8s wave'!E20*50%,5)</f>
        <v>1x5@100</v>
      </c>
      <c r="E8" s="70"/>
      <c r="F8" s="69" t="str">
        <f>"1x5@"&amp;MROUND('8s wave'!E21*50%,5)</f>
        <v>1x5@40</v>
      </c>
      <c r="G8" s="70"/>
      <c r="H8" s="69" t="str">
        <f>"1x5@"&amp;MROUND('8s wave'!E22*50%,5)</f>
        <v>1x5@75</v>
      </c>
      <c r="I8" s="70"/>
    </row>
    <row r="9" spans="1:9" x14ac:dyDescent="0.25">
      <c r="A9" s="42"/>
      <c r="B9" s="71" t="str">
        <f>"1x3@"&amp;MROUND('8s wave'!E19*60%,5)</f>
        <v>1x3@70</v>
      </c>
      <c r="C9" s="72"/>
      <c r="D9" s="71" t="str">
        <f>"1x3@"&amp;MROUND('8s wave'!E20*60%,5)</f>
        <v>1x3@115</v>
      </c>
      <c r="E9" s="72"/>
      <c r="F9" s="71" t="str">
        <f>"1x3@"&amp;MROUND('8s wave'!E21*60%,5)</f>
        <v>1x3@50</v>
      </c>
      <c r="G9" s="72"/>
      <c r="H9" s="71" t="str">
        <f>"1x3@"&amp;MROUND('8s wave'!E22*60%,5)</f>
        <v>1x3@85</v>
      </c>
      <c r="I9" s="72"/>
    </row>
    <row r="10" spans="1:9" x14ac:dyDescent="0.25">
      <c r="A10" s="42"/>
      <c r="B10" s="71" t="str">
        <f>"1x2@"&amp;MROUND('8s wave'!E19*70%,5)</f>
        <v>1x2@80</v>
      </c>
      <c r="C10" s="72"/>
      <c r="D10" s="71" t="str">
        <f>"1x2@"&amp;MROUND('8s wave'!E20*70%,5)</f>
        <v>1x2@135</v>
      </c>
      <c r="E10" s="72"/>
      <c r="F10" s="71" t="str">
        <f>"1x2@"&amp;MROUND('8s wave'!E21*70%,5)</f>
        <v>1x2@55</v>
      </c>
      <c r="G10" s="72"/>
      <c r="H10" s="71" t="str">
        <f>"1x2@"&amp;MROUND('8s wave'!E22*70%,5)</f>
        <v>1x2@100</v>
      </c>
      <c r="I10" s="72"/>
    </row>
    <row r="11" spans="1:9" x14ac:dyDescent="0.25">
      <c r="A11" s="42"/>
      <c r="B11" s="96" t="str">
        <f>"1x1@"&amp;MROUND('8s wave'!E19*75%,5)</f>
        <v>1x1@85</v>
      </c>
      <c r="C11" s="97"/>
      <c r="D11" s="96" t="str">
        <f>"1x1@"&amp;MROUND('8s wave'!E20*75%,5)</f>
        <v>1x1@145</v>
      </c>
      <c r="E11" s="97"/>
      <c r="F11" s="96" t="str">
        <f>"1x1@"&amp;MROUND('8s wave'!E21*75%,5)</f>
        <v>1x1@60</v>
      </c>
      <c r="G11" s="97"/>
      <c r="H11" s="96" t="str">
        <f>"1x1@"&amp;MROUND('8s wave'!E22*75%,5)</f>
        <v>1x1@110</v>
      </c>
      <c r="I11" s="97"/>
    </row>
    <row r="12" spans="1:9" x14ac:dyDescent="0.25">
      <c r="A12" s="48"/>
      <c r="B12" s="71" t="str">
        <f>"1x1@"&amp;MROUND('8s wave'!E19*80%,5)</f>
        <v>1x1@90</v>
      </c>
      <c r="C12" s="72"/>
      <c r="D12" s="71" t="str">
        <f>"1x1@"&amp;MROUND('8s wave'!E20*80%,5)</f>
        <v>1x1@155</v>
      </c>
      <c r="E12" s="72"/>
      <c r="F12" s="71" t="str">
        <f>"1x1@"&amp;MROUND('8s wave'!E21*80%,5)</f>
        <v>1x1@65</v>
      </c>
      <c r="G12" s="72"/>
      <c r="H12" s="71" t="str">
        <f>"1x1@"&amp;MROUND('8s wave'!E22*80%,5)</f>
        <v>1x1@115</v>
      </c>
      <c r="I12" s="72"/>
    </row>
    <row r="13" spans="1:9" x14ac:dyDescent="0.25">
      <c r="A13" s="48"/>
      <c r="B13" s="93" t="str">
        <f>"1x1@"&amp;MROUND('8s wave'!E19*75%,5)</f>
        <v>1x1@85</v>
      </c>
      <c r="C13" s="94"/>
      <c r="D13" s="93" t="str">
        <f>"1x1@"&amp;MROUND('8s wave'!E20*75%,5)</f>
        <v>1x1@145</v>
      </c>
      <c r="E13" s="94"/>
      <c r="F13" s="93" t="str">
        <f>"1x1@"&amp;MROUND('8s wave'!E21*75%,5)</f>
        <v>1x1@60</v>
      </c>
      <c r="G13" s="94"/>
      <c r="H13" s="93" t="str">
        <f>"1x1@"&amp;MROUND('8s wave'!E22*75%,5)</f>
        <v>1x1@110</v>
      </c>
      <c r="I13" s="94"/>
    </row>
    <row r="14" spans="1:9" ht="15.75" thickBot="1" x14ac:dyDescent="0.3">
      <c r="A14" s="48"/>
      <c r="B14" s="11"/>
      <c r="C14" s="6" t="s">
        <v>70</v>
      </c>
      <c r="D14" s="11"/>
      <c r="E14" s="6" t="s">
        <v>70</v>
      </c>
      <c r="F14" s="11"/>
      <c r="G14" s="6" t="s">
        <v>70</v>
      </c>
      <c r="H14" s="11"/>
      <c r="I14" s="6" t="s">
        <v>70</v>
      </c>
    </row>
    <row r="15" spans="1:9" ht="16.5" thickTop="1" thickBot="1" x14ac:dyDescent="0.3">
      <c r="A15" s="43"/>
      <c r="B15" s="14" t="str">
        <f>"1xAMAP@"&amp;MROUND('8s wave'!E19*85%,5)</f>
        <v>1xAMAP@100</v>
      </c>
      <c r="C15" s="23">
        <v>6</v>
      </c>
      <c r="D15" s="14" t="str">
        <f>"1xAMAP@"&amp;MROUND('8s wave'!E20*85%,5)</f>
        <v>1xAMAP@165</v>
      </c>
      <c r="E15" s="23">
        <v>6</v>
      </c>
      <c r="F15" s="14" t="str">
        <f>"1xAMAP@"&amp;MROUND('8s wave'!E21*85%,5)</f>
        <v>1xAMAP@70</v>
      </c>
      <c r="G15" s="23">
        <v>6</v>
      </c>
      <c r="H15" s="14" t="str">
        <f>"1xAMAP@"&amp;MROUND('8s wave'!E22*85%,5)</f>
        <v>1xAMAP@125</v>
      </c>
      <c r="I15" s="23">
        <v>6</v>
      </c>
    </row>
    <row r="16" spans="1:9" ht="15.75" thickTop="1" x14ac:dyDescent="0.25">
      <c r="A16" s="40" t="s">
        <v>17</v>
      </c>
      <c r="B16" s="69" t="str">
        <f>"1x5@"&amp;MROUND('8s wave'!E19*40%,5)</f>
        <v>1x5@45</v>
      </c>
      <c r="C16" s="70"/>
      <c r="D16" s="69" t="str">
        <f>"1x5@"&amp;MROUND('8s wave'!E20*40%,5)</f>
        <v>1x5@80</v>
      </c>
      <c r="E16" s="70"/>
      <c r="F16" s="69" t="str">
        <f>"1x5@"&amp;MROUND('8s wave'!E21*40%,5)</f>
        <v>1x5@30</v>
      </c>
      <c r="G16" s="70"/>
      <c r="H16" s="69" t="str">
        <f>"1x5@"&amp;MROUND('8s wave'!E22*40%,5)</f>
        <v>1x5@60</v>
      </c>
      <c r="I16" s="70"/>
    </row>
    <row r="17" spans="1:9" x14ac:dyDescent="0.25">
      <c r="A17" s="42"/>
      <c r="B17" s="71" t="str">
        <f>"1x5@"&amp;MROUND('8s wave'!E19*50%,5)</f>
        <v>1x5@60</v>
      </c>
      <c r="C17" s="72"/>
      <c r="D17" s="71" t="str">
        <f>"1x5@"&amp;MROUND('8s wave'!E20*50%,5)</f>
        <v>1x5@100</v>
      </c>
      <c r="E17" s="72"/>
      <c r="F17" s="71" t="str">
        <f>"1x5@"&amp;MROUND('8s wave'!E21*50%,5)</f>
        <v>1x5@40</v>
      </c>
      <c r="G17" s="72"/>
      <c r="H17" s="71" t="str">
        <f>"1x5@"&amp;MROUND('8s wave'!E22*50%,5)</f>
        <v>1x5@75</v>
      </c>
      <c r="I17" s="72"/>
    </row>
    <row r="18" spans="1:9" ht="15.75" thickBot="1" x14ac:dyDescent="0.3">
      <c r="A18" s="8"/>
      <c r="B18" s="73" t="str">
        <f>"1x5@"&amp;MROUND('8s wave'!E19*60%,5)</f>
        <v>1x5@70</v>
      </c>
      <c r="C18" s="74"/>
      <c r="D18" s="73" t="str">
        <f>"1x5@"&amp;MROUND('8s wave'!E20*60%,5)</f>
        <v>1x5@115</v>
      </c>
      <c r="E18" s="74"/>
      <c r="F18" s="73" t="str">
        <f>"1x5@"&amp;MROUND('8s wave'!E21*60%,5)</f>
        <v>1x5@50</v>
      </c>
      <c r="G18" s="74"/>
      <c r="H18" s="73" t="str">
        <f>"1x5@"&amp;MROUND('8s wave'!E22*60%,5)</f>
        <v>1x5@85</v>
      </c>
      <c r="I18" s="74"/>
    </row>
    <row r="19" spans="1:9" ht="16.5" thickTop="1" thickBot="1" x14ac:dyDescent="0.3"/>
    <row r="20" spans="1:9" ht="16.5" thickTop="1" thickBot="1" x14ac:dyDescent="0.3">
      <c r="A20" s="67" t="s">
        <v>74</v>
      </c>
      <c r="B20" s="68"/>
      <c r="D20" s="67" t="s">
        <v>79</v>
      </c>
      <c r="E20" s="68"/>
    </row>
    <row r="21" spans="1:9" ht="15.75" thickTop="1" x14ac:dyDescent="0.25">
      <c r="A21" s="44" t="s">
        <v>7</v>
      </c>
      <c r="B21" s="20">
        <f>MROUND(((MROUND('8s wave'!B19*85%,5))*0.0333)*C15+MROUND('8s wave'!B19*85%,5),5)</f>
        <v>115</v>
      </c>
      <c r="D21" s="44" t="s">
        <v>7</v>
      </c>
      <c r="E21" s="20">
        <f>MROUND(IF(C15&gt;5, ((C15-5)*2.5)+'8s wave'!E19,'8s wave'!E19),5)</f>
        <v>120</v>
      </c>
    </row>
    <row r="22" spans="1:9" x14ac:dyDescent="0.25">
      <c r="A22" s="45" t="s">
        <v>4</v>
      </c>
      <c r="B22" s="21">
        <f>MROUND((MROUND('8s wave'!B20*85%,5)*0.0333)*$E$15+MROUND('8s wave'!B20*85%,5),5)</f>
        <v>190</v>
      </c>
      <c r="D22" s="45" t="s">
        <v>4</v>
      </c>
      <c r="E22" s="20">
        <f>MROUND(IF(E15&gt;5, ((E15-5)*5)+'8s wave'!E20,'10s wave'!E21),5)</f>
        <v>200</v>
      </c>
    </row>
    <row r="23" spans="1:9" x14ac:dyDescent="0.25">
      <c r="A23" s="45" t="s">
        <v>8</v>
      </c>
      <c r="B23" s="21">
        <f>MROUND((MROUND('8s wave'!B21*85%,5)*0.0333)*$G$15+MROUND('8s wave'!B21*85%,5),5)</f>
        <v>70</v>
      </c>
      <c r="D23" s="45" t="s">
        <v>8</v>
      </c>
      <c r="E23" s="20">
        <f>MROUND(IF(G15&gt;5, ((G15-5)*2.5)+'8s wave'!E21,'8s wave'!E21),5)</f>
        <v>85</v>
      </c>
    </row>
    <row r="24" spans="1:9" ht="15.75" thickBot="1" x14ac:dyDescent="0.3">
      <c r="A24" s="46" t="s">
        <v>6</v>
      </c>
      <c r="B24" s="22">
        <f>MROUND((MROUND('8s wave'!B22*85%,5)*0.0333)*$I$15+MROUND('8s wave'!B22*85%,5),5)</f>
        <v>130</v>
      </c>
      <c r="D24" s="46" t="s">
        <v>6</v>
      </c>
      <c r="E24" s="58">
        <f>MROUND(IF(I15&gt;5, ((I15-5)*5)+'8s wave'!E22,'8s wave'!E22),5)</f>
        <v>150</v>
      </c>
    </row>
    <row r="25" spans="1:9" ht="15.75" thickTop="1" x14ac:dyDescent="0.25"/>
  </sheetData>
  <mergeCells count="62">
    <mergeCell ref="B2:C2"/>
    <mergeCell ref="D2:E2"/>
    <mergeCell ref="F2:G2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10:C10"/>
    <mergeCell ref="D10:E10"/>
    <mergeCell ref="F10:G10"/>
    <mergeCell ref="H10:I10"/>
    <mergeCell ref="B8:C8"/>
    <mergeCell ref="D8:E8"/>
    <mergeCell ref="F8:G8"/>
    <mergeCell ref="H8:I8"/>
    <mergeCell ref="B9:C9"/>
    <mergeCell ref="D9:E9"/>
    <mergeCell ref="F9:G9"/>
    <mergeCell ref="H9:I9"/>
    <mergeCell ref="H18:I18"/>
    <mergeCell ref="H11:I11"/>
    <mergeCell ref="H12:I12"/>
    <mergeCell ref="F18:G18"/>
    <mergeCell ref="F11:G11"/>
    <mergeCell ref="F12:G12"/>
    <mergeCell ref="H13:I13"/>
    <mergeCell ref="F13:G13"/>
    <mergeCell ref="F16:G16"/>
    <mergeCell ref="H16:I16"/>
    <mergeCell ref="F17:G17"/>
    <mergeCell ref="H17:I17"/>
    <mergeCell ref="A20:B20"/>
    <mergeCell ref="D18:E18"/>
    <mergeCell ref="D11:E11"/>
    <mergeCell ref="D12:E12"/>
    <mergeCell ref="B18:C18"/>
    <mergeCell ref="B11:C11"/>
    <mergeCell ref="B12:C12"/>
    <mergeCell ref="D13:E13"/>
    <mergeCell ref="B13:C13"/>
    <mergeCell ref="B16:C16"/>
    <mergeCell ref="D16:E16"/>
    <mergeCell ref="B17:C17"/>
    <mergeCell ref="D17:E17"/>
    <mergeCell ref="D20:E20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7" workbookViewId="0">
      <selection activeCell="H18" sqref="H18:I18"/>
    </sheetView>
  </sheetViews>
  <sheetFormatPr defaultRowHeight="15" x14ac:dyDescent="0.25"/>
  <cols>
    <col min="1" max="1" width="17.5703125" bestFit="1" customWidth="1"/>
    <col min="2" max="2" width="12.140625" bestFit="1" customWidth="1"/>
    <col min="3" max="3" width="12.28515625" bestFit="1" customWidth="1"/>
    <col min="4" max="4" width="12.140625" bestFit="1" customWidth="1"/>
    <col min="5" max="5" width="12.28515625" bestFit="1" customWidth="1"/>
    <col min="6" max="6" width="12.140625" bestFit="1" customWidth="1"/>
    <col min="7" max="7" width="12.28515625" bestFit="1" customWidth="1"/>
    <col min="8" max="8" width="12.140625" bestFit="1" customWidth="1"/>
    <col min="9" max="9" width="12.28515625" bestFit="1" customWidth="1"/>
  </cols>
  <sheetData>
    <row r="1" spans="1:9" ht="15.75" thickBot="1" x14ac:dyDescent="0.3"/>
    <row r="2" spans="1:9" ht="18.75" x14ac:dyDescent="0.3">
      <c r="A2" s="3"/>
      <c r="B2" s="98" t="s">
        <v>3</v>
      </c>
      <c r="C2" s="99"/>
      <c r="D2" s="98" t="s">
        <v>3</v>
      </c>
      <c r="E2" s="99"/>
      <c r="F2" s="98" t="s">
        <v>3</v>
      </c>
      <c r="G2" s="99"/>
      <c r="H2" s="98" t="s">
        <v>3</v>
      </c>
      <c r="I2" s="99"/>
    </row>
    <row r="3" spans="1:9" ht="19.5" thickBot="1" x14ac:dyDescent="0.35">
      <c r="A3" s="4"/>
      <c r="B3" s="100" t="s">
        <v>7</v>
      </c>
      <c r="C3" s="101"/>
      <c r="D3" s="100" t="s">
        <v>4</v>
      </c>
      <c r="E3" s="101"/>
      <c r="F3" s="100" t="s">
        <v>8</v>
      </c>
      <c r="G3" s="101"/>
      <c r="H3" s="100" t="s">
        <v>6</v>
      </c>
      <c r="I3" s="101"/>
    </row>
    <row r="4" spans="1:9" ht="16.5" thickTop="1" thickBot="1" x14ac:dyDescent="0.3">
      <c r="A4" s="47" t="s">
        <v>22</v>
      </c>
      <c r="B4" s="82" t="str">
        <f>"7x3@"&amp;MROUND('5s wave'!E21*75%,5)</f>
        <v>7x3@90</v>
      </c>
      <c r="C4" s="83"/>
      <c r="D4" s="82" t="str">
        <f>"7x3@"&amp;MROUND('5s wave'!E22*75%,5)</f>
        <v>7x3@150</v>
      </c>
      <c r="E4" s="83"/>
      <c r="F4" s="82" t="str">
        <f>"7x3@"&amp;MROUND('5s wave'!E23*75%,5)</f>
        <v>7x3@65</v>
      </c>
      <c r="G4" s="83"/>
      <c r="H4" s="82" t="str">
        <f>"7x3@"&amp;MROUND('5s wave'!E24*75%,5)</f>
        <v>7x3@115</v>
      </c>
      <c r="I4" s="83"/>
    </row>
    <row r="5" spans="1:9" ht="15.75" thickTop="1" x14ac:dyDescent="0.25">
      <c r="A5" s="39" t="s">
        <v>23</v>
      </c>
      <c r="B5" s="69" t="str">
        <f>"1x1@"&amp;MROUND('5s wave'!E21*70%,5)</f>
        <v>1x1@85</v>
      </c>
      <c r="C5" s="70"/>
      <c r="D5" s="69" t="str">
        <f>"1x1@"&amp;MROUND('5s wave'!E22*70%,5)</f>
        <v>1x1@140</v>
      </c>
      <c r="E5" s="70"/>
      <c r="F5" s="69" t="str">
        <f>"1x1@"&amp;MROUND('5s wave'!E23*70%,5)</f>
        <v>1x1@60</v>
      </c>
      <c r="G5" s="70"/>
      <c r="H5" s="69" t="str">
        <f>"1x1@"&amp;MROUND('5s wave'!E24*70%,5)</f>
        <v>1x1@105</v>
      </c>
      <c r="I5" s="70"/>
    </row>
    <row r="6" spans="1:9" x14ac:dyDescent="0.25">
      <c r="A6" s="40"/>
      <c r="B6" s="71" t="str">
        <f>"1x1@"&amp;MROUND('5s wave'!E21*77.5%,5)</f>
        <v>1x1@95</v>
      </c>
      <c r="C6" s="72"/>
      <c r="D6" s="71" t="str">
        <f>"1x1@"&amp;MROUND('5s wave'!E22*77.5%,5)</f>
        <v>1x1@155</v>
      </c>
      <c r="E6" s="72"/>
      <c r="F6" s="71" t="str">
        <f>"1x1@"&amp;MROUND('5s wave'!E23*77.5%,5)</f>
        <v>1x1@65</v>
      </c>
      <c r="G6" s="72"/>
      <c r="H6" s="71" t="str">
        <f>"1x1@"&amp;MROUND('5s wave'!E24*77.5%,5)</f>
        <v>1x1@115</v>
      </c>
      <c r="I6" s="72"/>
    </row>
    <row r="7" spans="1:9" ht="15.75" thickBot="1" x14ac:dyDescent="0.3">
      <c r="A7" s="41"/>
      <c r="B7" s="73" t="str">
        <f>"5x3@"&amp;MROUND('5s wave'!E21*82.5%,5)</f>
        <v>5x3@100</v>
      </c>
      <c r="C7" s="74"/>
      <c r="D7" s="73" t="str">
        <f>"5x3@"&amp;MROUND('5s wave'!E22*82.5%,5)</f>
        <v>5x3@165</v>
      </c>
      <c r="E7" s="74"/>
      <c r="F7" s="73" t="str">
        <f>"5x3@"&amp;MROUND('5s wave'!E23*82.5%,5)</f>
        <v>5x3@70</v>
      </c>
      <c r="G7" s="74"/>
      <c r="H7" s="73" t="str">
        <f>"5x3@"&amp;MROUND('5s wave'!E24*82.5%,5)</f>
        <v>5x3@125</v>
      </c>
      <c r="I7" s="74"/>
    </row>
    <row r="8" spans="1:9" ht="15.75" thickTop="1" x14ac:dyDescent="0.25">
      <c r="A8" s="39" t="s">
        <v>24</v>
      </c>
      <c r="B8" s="69" t="str">
        <f>"1x5@"&amp;MROUND('5s wave'!E21*50%,5)</f>
        <v>1x5@60</v>
      </c>
      <c r="C8" s="70"/>
      <c r="D8" s="69" t="str">
        <f>"1x5@"&amp;MROUND('5s wave'!E22*50%,5)</f>
        <v>1x5@100</v>
      </c>
      <c r="E8" s="70"/>
      <c r="F8" s="69" t="str">
        <f>"1x5@"&amp;MROUND('5s wave'!E23*50%,5)</f>
        <v>1x5@45</v>
      </c>
      <c r="G8" s="70"/>
      <c r="H8" s="69" t="str">
        <f>"1x5@"&amp;MROUND('5s wave'!E24*50%,5)</f>
        <v>1x5@75</v>
      </c>
      <c r="I8" s="70"/>
    </row>
    <row r="9" spans="1:9" x14ac:dyDescent="0.25">
      <c r="A9" s="40"/>
      <c r="B9" s="71" t="str">
        <f>"1x3@"&amp;MROUND('5s wave'!E21*60%,5)</f>
        <v>1x3@70</v>
      </c>
      <c r="C9" s="72"/>
      <c r="D9" s="71" t="str">
        <f>"1x3@"&amp;MROUND('5s wave'!E22*60%,5)</f>
        <v>1x3@120</v>
      </c>
      <c r="E9" s="72"/>
      <c r="F9" s="71" t="str">
        <f>"1x3@"&amp;MROUND('5s wave'!E23*60%,5)</f>
        <v>1x3@50</v>
      </c>
      <c r="G9" s="72"/>
      <c r="H9" s="71" t="str">
        <f>"1x3@"&amp;MROUND('5s wave'!E24*60%,5)</f>
        <v>1x3@90</v>
      </c>
      <c r="I9" s="72"/>
    </row>
    <row r="10" spans="1:9" x14ac:dyDescent="0.25">
      <c r="A10" s="40"/>
      <c r="B10" s="71" t="str">
        <f>"1x2@"&amp;MROUND('5s wave'!E21*70%,5)</f>
        <v>1x2@85</v>
      </c>
      <c r="C10" s="72"/>
      <c r="D10" s="71" t="str">
        <f>"1x2@"&amp;MROUND('5s wave'!E22*70%,5)</f>
        <v>1x2@140</v>
      </c>
      <c r="E10" s="72"/>
      <c r="F10" s="71" t="str">
        <f>"1x2@"&amp;MROUND('5s wave'!E23*70%,5)</f>
        <v>1x2@60</v>
      </c>
      <c r="G10" s="72"/>
      <c r="H10" s="71" t="str">
        <f>"1x2@"&amp;MROUND('5s wave'!E24*70%,5)</f>
        <v>1x2@105</v>
      </c>
      <c r="I10" s="72"/>
    </row>
    <row r="11" spans="1:9" x14ac:dyDescent="0.25">
      <c r="A11" s="40"/>
      <c r="B11" s="96" t="str">
        <f>"1x1@"&amp;MROUND('5s wave'!E21*75%,5)</f>
        <v>1x1@90</v>
      </c>
      <c r="C11" s="97"/>
      <c r="D11" s="96" t="str">
        <f>"1x1@"&amp;MROUND('5s wave'!E22*75%,5)</f>
        <v>1x1@150</v>
      </c>
      <c r="E11" s="97"/>
      <c r="F11" s="96" t="str">
        <f>"1x1@"&amp;MROUND('5s wave'!E23*75%,5)</f>
        <v>1x1@65</v>
      </c>
      <c r="G11" s="97"/>
      <c r="H11" s="96" t="str">
        <f>"1x1@"&amp;MROUND('5s wave'!E24*75%,5)</f>
        <v>1x1@115</v>
      </c>
      <c r="I11" s="97"/>
    </row>
    <row r="12" spans="1:9" x14ac:dyDescent="0.25">
      <c r="A12" s="48"/>
      <c r="B12" s="71" t="str">
        <f>"1x1@"&amp;MROUND('5s wave'!E21*80%,5)</f>
        <v>1x1@95</v>
      </c>
      <c r="C12" s="72"/>
      <c r="D12" s="71" t="str">
        <f>"1x1@"&amp;MROUND('5s wave'!E22*80%,5)</f>
        <v>1x1@160</v>
      </c>
      <c r="E12" s="72"/>
      <c r="F12" s="71" t="str">
        <f>"1x1@"&amp;MROUND('5s wave'!E23*80%,5)</f>
        <v>1x1@70</v>
      </c>
      <c r="G12" s="72"/>
      <c r="H12" s="71" t="str">
        <f>"1x1@"&amp;MROUND('5s wave'!E24*80%,5)</f>
        <v>1x1@120</v>
      </c>
      <c r="I12" s="72"/>
    </row>
    <row r="13" spans="1:9" x14ac:dyDescent="0.25">
      <c r="A13" s="40"/>
      <c r="B13" s="71" t="str">
        <f>"1x1@"&amp;MROUND('5s wave'!E21*85%,5)</f>
        <v>1x1@100</v>
      </c>
      <c r="C13" s="72"/>
      <c r="D13" s="71" t="str">
        <f>"1x1@"&amp;MROUND('5s wave'!E22*85%,5)</f>
        <v>1x1@170</v>
      </c>
      <c r="E13" s="72"/>
      <c r="F13" s="71" t="str">
        <f>"1x1@"&amp;MROUND('5s wave'!E23*85%,5)</f>
        <v>1x1@70</v>
      </c>
      <c r="G13" s="72"/>
      <c r="H13" s="71" t="str">
        <f>"1x1@"&amp;MROUND('5s wave'!E24*85%,5)</f>
        <v>1x1@130</v>
      </c>
      <c r="I13" s="72"/>
    </row>
    <row r="14" spans="1:9" ht="15.75" thickBot="1" x14ac:dyDescent="0.3">
      <c r="A14" s="40"/>
      <c r="B14" s="11"/>
      <c r="C14" s="6" t="s">
        <v>70</v>
      </c>
      <c r="D14" s="11"/>
      <c r="E14" s="6" t="s">
        <v>70</v>
      </c>
      <c r="F14" s="11"/>
      <c r="G14" s="6" t="s">
        <v>70</v>
      </c>
      <c r="H14" s="11"/>
      <c r="I14" s="6" t="s">
        <v>70</v>
      </c>
    </row>
    <row r="15" spans="1:9" ht="16.5" thickTop="1" thickBot="1" x14ac:dyDescent="0.3">
      <c r="A15" s="41"/>
      <c r="B15" s="17" t="str">
        <f>"1xAMAP@"&amp;MROUND('5s wave'!E21*90%,5)</f>
        <v>1xAMAP@110</v>
      </c>
      <c r="C15" s="17">
        <v>4</v>
      </c>
      <c r="D15" s="17" t="str">
        <f>"1xAMAP@"&amp;MROUND('5s wave'!E22*90%,5)</f>
        <v>1xAMAP@180</v>
      </c>
      <c r="E15" s="17">
        <v>4</v>
      </c>
      <c r="F15" s="17" t="str">
        <f>"1xAMAP@"&amp;MROUND('5s wave'!E23*90%,5)</f>
        <v>1xAMAP@75</v>
      </c>
      <c r="G15" s="17">
        <v>4</v>
      </c>
      <c r="H15" s="17" t="str">
        <f>"1xAMAP@"&amp;MROUND('5s wave'!E24*90%,5)</f>
        <v>1xAMAP@135</v>
      </c>
      <c r="I15" s="17">
        <v>4</v>
      </c>
    </row>
    <row r="16" spans="1:9" ht="15.75" thickTop="1" x14ac:dyDescent="0.25">
      <c r="A16" s="40" t="s">
        <v>18</v>
      </c>
      <c r="B16" s="69" t="str">
        <f>"1x5@"&amp;MROUND('5s wave'!E21*40%,5)</f>
        <v>1x5@50</v>
      </c>
      <c r="C16" s="70"/>
      <c r="D16" s="69" t="str">
        <f>"1x5@"&amp;MROUND('5s wave'!E22*40%,5)</f>
        <v>1x5@80</v>
      </c>
      <c r="E16" s="70"/>
      <c r="F16" s="69" t="str">
        <f>"1x5@"&amp;MROUND('5s wave'!E23*40%,5)</f>
        <v>1x5@35</v>
      </c>
      <c r="G16" s="70"/>
      <c r="H16" s="69" t="str">
        <f>"1x5@"&amp;MROUND('5s wave'!E24*40%,5)</f>
        <v>1x5@60</v>
      </c>
      <c r="I16" s="70"/>
    </row>
    <row r="17" spans="1:9" x14ac:dyDescent="0.25">
      <c r="A17" s="40"/>
      <c r="B17" s="71" t="str">
        <f>"1x5@"&amp;MROUND('5s wave'!E21*50%,5)</f>
        <v>1x5@60</v>
      </c>
      <c r="C17" s="72"/>
      <c r="D17" s="71" t="str">
        <f>"1x5@"&amp;MROUND('5s wave'!E22*50%,5)</f>
        <v>1x5@100</v>
      </c>
      <c r="E17" s="72"/>
      <c r="F17" s="71" t="str">
        <f>"1x5@"&amp;MROUND('5s wave'!E23*50%,5)</f>
        <v>1x5@45</v>
      </c>
      <c r="G17" s="72"/>
      <c r="H17" s="71" t="str">
        <f>"1x5@"&amp;MROUND('5s wave'!E24*50%,5)</f>
        <v>1x5@75</v>
      </c>
      <c r="I17" s="72"/>
    </row>
    <row r="18" spans="1:9" ht="15.75" thickBot="1" x14ac:dyDescent="0.3">
      <c r="A18" s="18"/>
      <c r="B18" s="73" t="str">
        <f>"1x5@"&amp;MROUND('5s wave'!E21*60%,5)</f>
        <v>1x5@70</v>
      </c>
      <c r="C18" s="74"/>
      <c r="D18" s="73" t="str">
        <f>"1x5@"&amp;MROUND('5s wave'!E22*60%,5)</f>
        <v>1x5@120</v>
      </c>
      <c r="E18" s="74"/>
      <c r="F18" s="73" t="str">
        <f>"1x5@"&amp;MROUND('5s wave'!E23*60%,5)</f>
        <v>1x5@50</v>
      </c>
      <c r="G18" s="74"/>
      <c r="H18" s="71" t="str">
        <f>"1x5@"&amp;MROUND('5s wave'!E24*60%,5)</f>
        <v>1x5@90</v>
      </c>
      <c r="I18" s="72"/>
    </row>
    <row r="19" spans="1:9" ht="16.5" thickTop="1" thickBot="1" x14ac:dyDescent="0.3"/>
    <row r="20" spans="1:9" ht="16.5" thickTop="1" thickBot="1" x14ac:dyDescent="0.3">
      <c r="A20" s="67" t="s">
        <v>75</v>
      </c>
      <c r="B20" s="68"/>
      <c r="D20" s="67" t="s">
        <v>79</v>
      </c>
      <c r="E20" s="68"/>
    </row>
    <row r="21" spans="1:9" ht="15.75" thickTop="1" x14ac:dyDescent="0.25">
      <c r="A21" s="44" t="s">
        <v>7</v>
      </c>
      <c r="B21" s="20">
        <f>MROUND(((MROUND('5s wave'!B21*90%,5))*0.0333)*C15+MROUND('5s wave'!B21*90%,5),5)</f>
        <v>120</v>
      </c>
      <c r="D21" s="44" t="s">
        <v>7</v>
      </c>
      <c r="E21" s="20">
        <f>MROUND(IF(C15&gt;3, ((C15-3)*2.5)+'5s wave'!E21,'5s wave'!E21),5)</f>
        <v>125</v>
      </c>
      <c r="F21" s="102" t="s">
        <v>76</v>
      </c>
      <c r="G21" s="103"/>
    </row>
    <row r="22" spans="1:9" x14ac:dyDescent="0.25">
      <c r="A22" s="45" t="s">
        <v>4</v>
      </c>
      <c r="B22" s="21">
        <f>MROUND((MROUND('5s wave'!B22*90%,5)*0.0333)*$E$15+MROUND('5s wave'!B22*90%,5),5)</f>
        <v>195</v>
      </c>
      <c r="D22" s="45" t="s">
        <v>4</v>
      </c>
      <c r="E22" s="20">
        <f>MROUND(IF(E15&gt;3, ((E15-3)*5)+'5s wave'!E22,'5s wave'!E22),5)</f>
        <v>205</v>
      </c>
      <c r="F22" s="104"/>
      <c r="G22" s="105"/>
    </row>
    <row r="23" spans="1:9" x14ac:dyDescent="0.25">
      <c r="A23" s="45" t="s">
        <v>8</v>
      </c>
      <c r="B23" s="21">
        <f>MROUND((MROUND('5s wave'!B23*90%,5)*0.0333)*$G$15+MROUND('5s wave'!B23*90%,5),5)</f>
        <v>75</v>
      </c>
      <c r="D23" s="45" t="s">
        <v>8</v>
      </c>
      <c r="E23" s="20">
        <f>MROUND(IF(G15&gt;3, ((G15-3)*2.5)+'5s wave'!E23,'5s wave'!E23),5)</f>
        <v>90</v>
      </c>
      <c r="F23" s="104"/>
      <c r="G23" s="105"/>
    </row>
    <row r="24" spans="1:9" ht="15.75" thickBot="1" x14ac:dyDescent="0.3">
      <c r="A24" s="46" t="s">
        <v>6</v>
      </c>
      <c r="B24" s="22">
        <f>MROUND((MROUND('5s wave'!B24*90%,5)*0.0333)*$I$15+MROUND('5s wave'!B24*90%,5),5)</f>
        <v>130</v>
      </c>
      <c r="D24" s="46" t="s">
        <v>6</v>
      </c>
      <c r="E24" s="58">
        <f>MROUND(IF(I15&gt;3, ((I15-3)*5)+'5s wave'!E24,'5s wave'!E24),5)</f>
        <v>155</v>
      </c>
      <c r="F24" s="106"/>
      <c r="G24" s="107"/>
    </row>
    <row r="25" spans="1:9" ht="15.75" thickTop="1" x14ac:dyDescent="0.25"/>
  </sheetData>
  <mergeCells count="63">
    <mergeCell ref="D20:E20"/>
    <mergeCell ref="H16:I16"/>
    <mergeCell ref="H17:I17"/>
    <mergeCell ref="H18:I18"/>
    <mergeCell ref="H2:I2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F17:G17"/>
    <mergeCell ref="F18:G18"/>
    <mergeCell ref="F2:G2"/>
    <mergeCell ref="F3:G3"/>
    <mergeCell ref="F4:G4"/>
    <mergeCell ref="F5:G5"/>
    <mergeCell ref="F6:G6"/>
    <mergeCell ref="F7:G7"/>
    <mergeCell ref="F8:G8"/>
    <mergeCell ref="F9:G9"/>
    <mergeCell ref="F16:G16"/>
    <mergeCell ref="F10:G10"/>
    <mergeCell ref="F11:G11"/>
    <mergeCell ref="F12:G12"/>
    <mergeCell ref="F13:G13"/>
    <mergeCell ref="D17:E17"/>
    <mergeCell ref="D18:E18"/>
    <mergeCell ref="D2:E2"/>
    <mergeCell ref="D3:E3"/>
    <mergeCell ref="D4:E4"/>
    <mergeCell ref="D5:E5"/>
    <mergeCell ref="D6:E6"/>
    <mergeCell ref="D7:E7"/>
    <mergeCell ref="D8:E8"/>
    <mergeCell ref="D13:E13"/>
    <mergeCell ref="D16:E16"/>
    <mergeCell ref="B16:C16"/>
    <mergeCell ref="B10:C10"/>
    <mergeCell ref="B11:C11"/>
    <mergeCell ref="B12:C12"/>
    <mergeCell ref="B13:C13"/>
    <mergeCell ref="A20:B20"/>
    <mergeCell ref="F21:G24"/>
    <mergeCell ref="B17:C17"/>
    <mergeCell ref="B18:C18"/>
    <mergeCell ref="B2:C2"/>
    <mergeCell ref="B3:C3"/>
    <mergeCell ref="B4:C4"/>
    <mergeCell ref="B5:C5"/>
    <mergeCell ref="B6:C6"/>
    <mergeCell ref="B7:C7"/>
    <mergeCell ref="B8:C8"/>
    <mergeCell ref="B9:C9"/>
    <mergeCell ref="D9:E9"/>
    <mergeCell ref="D10:E10"/>
    <mergeCell ref="D11:E11"/>
    <mergeCell ref="D12:E12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4" workbookViewId="0">
      <selection activeCell="C26" sqref="C26"/>
    </sheetView>
  </sheetViews>
  <sheetFormatPr defaultRowHeight="15" x14ac:dyDescent="0.25"/>
  <cols>
    <col min="1" max="1" width="17.5703125" bestFit="1" customWidth="1"/>
    <col min="2" max="2" width="12.140625" bestFit="1" customWidth="1"/>
    <col min="3" max="3" width="12.28515625" bestFit="1" customWidth="1"/>
    <col min="4" max="4" width="12.140625" bestFit="1" customWidth="1"/>
    <col min="5" max="5" width="12.28515625" bestFit="1" customWidth="1"/>
    <col min="6" max="6" width="12.140625" bestFit="1" customWidth="1"/>
    <col min="7" max="7" width="12.28515625" bestFit="1" customWidth="1"/>
    <col min="8" max="8" width="12.140625" bestFit="1" customWidth="1"/>
    <col min="9" max="9" width="12.28515625" bestFit="1" customWidth="1"/>
  </cols>
  <sheetData>
    <row r="1" spans="1:9" ht="15.75" thickBot="1" x14ac:dyDescent="0.3"/>
    <row r="2" spans="1:9" ht="18.75" x14ac:dyDescent="0.3">
      <c r="A2" s="3"/>
      <c r="B2" s="98" t="s">
        <v>80</v>
      </c>
      <c r="C2" s="99"/>
      <c r="D2" s="98" t="s">
        <v>80</v>
      </c>
      <c r="E2" s="99"/>
      <c r="F2" s="98" t="s">
        <v>80</v>
      </c>
      <c r="G2" s="99"/>
      <c r="H2" s="98" t="s">
        <v>80</v>
      </c>
      <c r="I2" s="99"/>
    </row>
    <row r="3" spans="1:9" ht="19.5" thickBot="1" x14ac:dyDescent="0.35">
      <c r="A3" s="4"/>
      <c r="B3" s="100" t="s">
        <v>7</v>
      </c>
      <c r="C3" s="101"/>
      <c r="D3" s="100" t="s">
        <v>4</v>
      </c>
      <c r="E3" s="101"/>
      <c r="F3" s="100" t="s">
        <v>8</v>
      </c>
      <c r="G3" s="101"/>
      <c r="H3" s="100" t="s">
        <v>6</v>
      </c>
      <c r="I3" s="101"/>
    </row>
    <row r="4" spans="1:9" ht="16.5" thickTop="1" thickBot="1" x14ac:dyDescent="0.3">
      <c r="A4" s="47" t="s">
        <v>22</v>
      </c>
      <c r="B4" s="82" t="str">
        <f>"8x2@"&amp;MROUND(E21*80%,5)</f>
        <v>8x2@100</v>
      </c>
      <c r="C4" s="83"/>
      <c r="D4" s="82" t="str">
        <f>"8x2@"&amp;MROUND(E22*80%,5)</f>
        <v>8x2@165</v>
      </c>
      <c r="E4" s="83"/>
      <c r="F4" s="82" t="str">
        <f>"8x2@"&amp;MROUND(E23*80%,5)</f>
        <v>8x2@70</v>
      </c>
      <c r="G4" s="83"/>
      <c r="H4" s="82" t="str">
        <f>"8x2@"&amp;MROUND(E24*80%,5)</f>
        <v>8x2@125</v>
      </c>
      <c r="I4" s="83"/>
    </row>
    <row r="5" spans="1:9" ht="15.75" thickTop="1" x14ac:dyDescent="0.25">
      <c r="A5" s="39" t="s">
        <v>23</v>
      </c>
      <c r="B5" s="69" t="str">
        <f>"1x1@"&amp;MROUND(E21*75%,5)</f>
        <v>1x1@95</v>
      </c>
      <c r="C5" s="70"/>
      <c r="D5" s="69" t="str">
        <f>"1x1@"&amp;MROUND(E22*75%,5)</f>
        <v>1x1@155</v>
      </c>
      <c r="E5" s="70"/>
      <c r="F5" s="69" t="str">
        <f>"1x1@"&amp;MROUND(E23*75%,5)</f>
        <v>1x1@70</v>
      </c>
      <c r="G5" s="70"/>
      <c r="H5" s="69" t="str">
        <f>"1x1@"&amp;MROUND(E24*75%,5)</f>
        <v>1x1@115</v>
      </c>
      <c r="I5" s="70"/>
    </row>
    <row r="6" spans="1:9" x14ac:dyDescent="0.25">
      <c r="A6" s="40"/>
      <c r="B6" s="71" t="str">
        <f>"1x1@"&amp;MROUND(E21*82.5%,5)</f>
        <v>1x1@105</v>
      </c>
      <c r="C6" s="72"/>
      <c r="D6" s="71" t="str">
        <f>"1x1@"&amp;MROUND(E22*82.5%,5)</f>
        <v>1x1@170</v>
      </c>
      <c r="E6" s="72"/>
      <c r="F6" s="71" t="str">
        <f>"1x1@"&amp;MROUND(E23*82.5%,5)</f>
        <v>1x1@75</v>
      </c>
      <c r="G6" s="72"/>
      <c r="H6" s="71" t="str">
        <f>"1x1@"&amp;MROUND(E24*82.5%,5)</f>
        <v>1x1@130</v>
      </c>
      <c r="I6" s="72"/>
    </row>
    <row r="7" spans="1:9" ht="15.75" thickBot="1" x14ac:dyDescent="0.3">
      <c r="A7" s="41"/>
      <c r="B7" s="73" t="str">
        <f>"5x2@"&amp;MROUND(E21*87.5%,5)</f>
        <v>5x2@110</v>
      </c>
      <c r="C7" s="74"/>
      <c r="D7" s="73" t="str">
        <f>"5x2@"&amp;MROUND(E22*87.5%,5)</f>
        <v>5x2@180</v>
      </c>
      <c r="E7" s="74"/>
      <c r="F7" s="73" t="str">
        <f>"5x2@"&amp;MROUND(E23*87.5%,5)</f>
        <v>5x2@80</v>
      </c>
      <c r="G7" s="74"/>
      <c r="H7" s="73" t="str">
        <f>"5x2@"&amp;MROUND(E24*87.5%,5)</f>
        <v>5x2@135</v>
      </c>
      <c r="I7" s="74"/>
    </row>
    <row r="8" spans="1:9" ht="15.75" thickTop="1" x14ac:dyDescent="0.25">
      <c r="A8" s="39" t="s">
        <v>24</v>
      </c>
      <c r="B8" s="69" t="str">
        <f>"1x5@"&amp;MROUND(E21*50%,5)</f>
        <v>1x5@65</v>
      </c>
      <c r="C8" s="70"/>
      <c r="D8" s="69" t="str">
        <f>"1x5@"&amp;MROUND(E22*50%,5)</f>
        <v>1x5@105</v>
      </c>
      <c r="E8" s="70"/>
      <c r="F8" s="69" t="str">
        <f>"1x5@"&amp;MROUND(E23*50%,5)</f>
        <v>1x5@45</v>
      </c>
      <c r="G8" s="70"/>
      <c r="H8" s="69" t="str">
        <f>"1x5@"&amp;MROUND(E24*50%,5)</f>
        <v>1x5@80</v>
      </c>
      <c r="I8" s="70"/>
    </row>
    <row r="9" spans="1:9" x14ac:dyDescent="0.25">
      <c r="A9" s="40"/>
      <c r="B9" s="71" t="str">
        <f>"1x3@"&amp;MROUND(E21*60%,5)</f>
        <v>1x3@75</v>
      </c>
      <c r="C9" s="72"/>
      <c r="D9" s="71" t="str">
        <f>"1x3@"&amp;MROUND(E22*60%,5)</f>
        <v>1x3@125</v>
      </c>
      <c r="E9" s="72"/>
      <c r="F9" s="71" t="str">
        <f>"1x3@"&amp;MROUND(E23*60%,5)</f>
        <v>1x3@55</v>
      </c>
      <c r="G9" s="72"/>
      <c r="H9" s="71" t="str">
        <f>"1x3@"&amp;MROUND(E24*60%,5)</f>
        <v>1x3@95</v>
      </c>
      <c r="I9" s="72"/>
    </row>
    <row r="10" spans="1:9" x14ac:dyDescent="0.25">
      <c r="A10" s="40"/>
      <c r="B10" s="71" t="str">
        <f>"1x2@"&amp;MROUND(E21*70%,5)</f>
        <v>1x2@90</v>
      </c>
      <c r="C10" s="72"/>
      <c r="D10" s="71" t="str">
        <f>"1x2@"&amp;MROUND(E22*70%,5)</f>
        <v>1x2@145</v>
      </c>
      <c r="E10" s="72"/>
      <c r="F10" s="71" t="str">
        <f>"1x2@"&amp;MROUND(E23*70%,5)</f>
        <v>1x2@65</v>
      </c>
      <c r="G10" s="72"/>
      <c r="H10" s="71" t="str">
        <f>"1x2@"&amp;MROUND(E24*70%,5)</f>
        <v>1x2@110</v>
      </c>
      <c r="I10" s="72"/>
    </row>
    <row r="11" spans="1:9" x14ac:dyDescent="0.25">
      <c r="A11" s="40"/>
      <c r="B11" s="96" t="str">
        <f>"1x1@"&amp;MROUND(E21*75%,5)</f>
        <v>1x1@95</v>
      </c>
      <c r="C11" s="97"/>
      <c r="D11" s="96" t="str">
        <f>"1x1@"&amp;MROUND(E22*75%,5)</f>
        <v>1x1@155</v>
      </c>
      <c r="E11" s="97"/>
      <c r="F11" s="96" t="str">
        <f>"1x1@"&amp;MROUND(E23*75%,5)</f>
        <v>1x1@70</v>
      </c>
      <c r="G11" s="97"/>
      <c r="H11" s="96" t="str">
        <f>"1x1@"&amp;MROUND(E24*75%,5)</f>
        <v>1x1@115</v>
      </c>
      <c r="I11" s="97"/>
    </row>
    <row r="12" spans="1:9" x14ac:dyDescent="0.25">
      <c r="A12" s="48"/>
      <c r="B12" s="71" t="str">
        <f>"1x1@"&amp;MROUND(E21*82.5%,2.5)</f>
        <v>1x1@102,5</v>
      </c>
      <c r="C12" s="72"/>
      <c r="D12" s="71" t="str">
        <f>"1x1@"&amp;MROUND(E22*82.5%,2.5)</f>
        <v>1x1@170</v>
      </c>
      <c r="E12" s="72"/>
      <c r="F12" s="71" t="str">
        <f>"1x1@"&amp;MROUND(E23*82.5%,2.5)</f>
        <v>1x1@75</v>
      </c>
      <c r="G12" s="72"/>
      <c r="H12" s="71" t="str">
        <f>"1x1@"&amp;MROUND(E24*82.5%,2.5)</f>
        <v>1x1@127,5</v>
      </c>
      <c r="I12" s="72"/>
    </row>
    <row r="13" spans="1:9" x14ac:dyDescent="0.25">
      <c r="A13" s="40"/>
      <c r="B13" s="71" t="str">
        <f>"1x1@"&amp;MROUND(E21*87.5%,2.5)</f>
        <v>1x1@110</v>
      </c>
      <c r="C13" s="72"/>
      <c r="D13" s="71" t="str">
        <f>"1x1@"&amp;MROUND(E22*90%,2.5)</f>
        <v>1x1@185</v>
      </c>
      <c r="E13" s="72"/>
      <c r="F13" s="71" t="str">
        <f>"1x1@"&amp;MROUND(E23*90%,2.5)</f>
        <v>1x1@80</v>
      </c>
      <c r="G13" s="72"/>
      <c r="H13" s="71" t="str">
        <f>"1x1@"&amp;MROUND(E24*90%,2.5)</f>
        <v>1x1@140</v>
      </c>
      <c r="I13" s="72"/>
    </row>
    <row r="14" spans="1:9" ht="15.75" thickBot="1" x14ac:dyDescent="0.3">
      <c r="A14" s="40"/>
      <c r="B14" s="11"/>
      <c r="C14" s="6" t="s">
        <v>70</v>
      </c>
      <c r="D14" s="11"/>
      <c r="E14" s="6" t="s">
        <v>70</v>
      </c>
      <c r="F14" s="11"/>
      <c r="G14" s="6" t="s">
        <v>70</v>
      </c>
      <c r="H14" s="11"/>
      <c r="I14" s="6" t="s">
        <v>70</v>
      </c>
    </row>
    <row r="15" spans="1:9" ht="16.5" thickTop="1" thickBot="1" x14ac:dyDescent="0.3">
      <c r="A15" s="41"/>
      <c r="B15" s="17" t="str">
        <f>"1xAMAP@"&amp;MROUND(E21*95%,5)</f>
        <v>1xAMAP@120</v>
      </c>
      <c r="C15" s="17">
        <v>2</v>
      </c>
      <c r="D15" s="17" t="str">
        <f>"1xAMAP@"&amp;MROUND(E22*95%,5)</f>
        <v>1xAMAP@195</v>
      </c>
      <c r="E15" s="17">
        <v>2</v>
      </c>
      <c r="F15" s="17" t="str">
        <f>"1xAMAP@"&amp;MROUND(E23*95%,5)</f>
        <v>1xAMAP@85</v>
      </c>
      <c r="G15" s="17">
        <v>2</v>
      </c>
      <c r="H15" s="17" t="str">
        <f>"1xAMAP@"&amp;MROUND(E24*95%,5)</f>
        <v>1xAMAP@145</v>
      </c>
      <c r="I15" s="17">
        <v>2</v>
      </c>
    </row>
    <row r="16" spans="1:9" ht="15.75" thickTop="1" x14ac:dyDescent="0.25">
      <c r="A16" s="40" t="s">
        <v>18</v>
      </c>
      <c r="B16" s="69" t="str">
        <f>"1x5@"&amp;MROUND(E21*40%,5)</f>
        <v>1x5@50</v>
      </c>
      <c r="C16" s="70"/>
      <c r="D16" s="69" t="str">
        <f>"1x5@"&amp;MROUND(E22*40%,5)</f>
        <v>1x5@80</v>
      </c>
      <c r="E16" s="70"/>
      <c r="F16" s="69" t="str">
        <f>"1x5@"&amp;MROUND(E23*40%,5)</f>
        <v>1x5@35</v>
      </c>
      <c r="G16" s="70"/>
      <c r="H16" s="69" t="str">
        <f>"1x5@"&amp;MROUND(E24*40%,5)</f>
        <v>1x5@60</v>
      </c>
      <c r="I16" s="70"/>
    </row>
    <row r="17" spans="1:11" x14ac:dyDescent="0.25">
      <c r="A17" s="40"/>
      <c r="B17" s="71" t="str">
        <f>"1x5@"&amp;MROUND(E21*50%,5)</f>
        <v>1x5@65</v>
      </c>
      <c r="C17" s="72"/>
      <c r="D17" s="71" t="str">
        <f>"1x5@"&amp;MROUND(E22*50%,5)</f>
        <v>1x5@105</v>
      </c>
      <c r="E17" s="72"/>
      <c r="F17" s="71" t="str">
        <f>"1x5@"&amp;MROUND(E23*50%,5)</f>
        <v>1x5@45</v>
      </c>
      <c r="G17" s="72"/>
      <c r="H17" s="71" t="str">
        <f>"1x5@"&amp;MROUND(E24*50%,5)</f>
        <v>1x5@80</v>
      </c>
      <c r="I17" s="72"/>
    </row>
    <row r="18" spans="1:11" ht="15.75" thickBot="1" x14ac:dyDescent="0.3">
      <c r="A18" s="18"/>
      <c r="B18" s="73" t="str">
        <f>"1x5@"&amp;MROUND(E21*60%,5)</f>
        <v>1x5@75</v>
      </c>
      <c r="C18" s="74"/>
      <c r="D18" s="73" t="str">
        <f>"1x5@"&amp;MROUND(E22*60%,5)</f>
        <v>1x5@125</v>
      </c>
      <c r="E18" s="74"/>
      <c r="F18" s="73" t="str">
        <f>"1x5@"&amp;MROUND(E23*60%,5)</f>
        <v>1x5@55</v>
      </c>
      <c r="G18" s="74"/>
      <c r="H18" s="71" t="str">
        <f>"1x5@"&amp;MROUND(E24*60%,5)</f>
        <v>1x5@95</v>
      </c>
      <c r="I18" s="72"/>
    </row>
    <row r="19" spans="1:11" ht="16.5" thickTop="1" thickBot="1" x14ac:dyDescent="0.3"/>
    <row r="20" spans="1:11" ht="16.5" thickTop="1" thickBot="1" x14ac:dyDescent="0.3">
      <c r="A20" s="67" t="s">
        <v>75</v>
      </c>
      <c r="B20" s="68"/>
      <c r="D20" s="67" t="s">
        <v>81</v>
      </c>
      <c r="E20" s="68"/>
      <c r="H20" s="67" t="s">
        <v>79</v>
      </c>
      <c r="I20" s="68"/>
    </row>
    <row r="21" spans="1:11" ht="15.75" thickTop="1" x14ac:dyDescent="0.25">
      <c r="A21" s="44" t="s">
        <v>7</v>
      </c>
      <c r="B21" s="20">
        <f>MROUND(((MROUND('5s wave'!B21*90%,5))*0.0333)*C15+MROUND('5s wave'!B21*90%,5),5)</f>
        <v>110</v>
      </c>
      <c r="D21" s="44" t="s">
        <v>7</v>
      </c>
      <c r="E21" s="20">
        <f>+'3s wave'!E21</f>
        <v>125</v>
      </c>
      <c r="H21" s="44" t="s">
        <v>7</v>
      </c>
      <c r="I21" s="20">
        <f>MROUND(IF(C15&gt;1, ((C15-1)*2.5)+E21,E21),2.5)</f>
        <v>127.5</v>
      </c>
      <c r="J21" s="102" t="s">
        <v>76</v>
      </c>
      <c r="K21" s="103"/>
    </row>
    <row r="22" spans="1:11" x14ac:dyDescent="0.25">
      <c r="A22" s="45" t="s">
        <v>4</v>
      </c>
      <c r="B22" s="21">
        <f>MROUND((MROUND('5s wave'!B22*90%,5)*0.0333)*$E$15+MROUND('5s wave'!B22*90%,5),5)</f>
        <v>180</v>
      </c>
      <c r="D22" s="45" t="s">
        <v>4</v>
      </c>
      <c r="E22" s="20">
        <f>+'3s wave'!E22</f>
        <v>205</v>
      </c>
      <c r="H22" s="45" t="s">
        <v>4</v>
      </c>
      <c r="I22" s="20">
        <f>MROUND(IF(E15&gt;1, ((E15-1)*2.5)+E22,E22),2.5)</f>
        <v>207.5</v>
      </c>
      <c r="J22" s="104"/>
      <c r="K22" s="105"/>
    </row>
    <row r="23" spans="1:11" x14ac:dyDescent="0.25">
      <c r="A23" s="45" t="s">
        <v>8</v>
      </c>
      <c r="B23" s="21">
        <f>MROUND((MROUND('5s wave'!B23*90%,5)*0.0333)*$G$15+MROUND('5s wave'!B23*90%,5),5)</f>
        <v>70</v>
      </c>
      <c r="D23" s="45" t="s">
        <v>8</v>
      </c>
      <c r="E23" s="20">
        <f>+'3s wave'!E23</f>
        <v>90</v>
      </c>
      <c r="H23" s="45" t="s">
        <v>8</v>
      </c>
      <c r="I23" s="20">
        <f>MROUND(IF(G15&gt;1, ((G15-1)*2.5)+E23,E23),2.5)</f>
        <v>92.5</v>
      </c>
      <c r="J23" s="104"/>
      <c r="K23" s="105"/>
    </row>
    <row r="24" spans="1:11" ht="15.75" thickBot="1" x14ac:dyDescent="0.3">
      <c r="A24" s="46" t="s">
        <v>6</v>
      </c>
      <c r="B24" s="22">
        <f>MROUND((MROUND('5s wave'!B24*90%,5)*0.0333)*$I$15+MROUND('5s wave'!B24*90%,5),5)</f>
        <v>125</v>
      </c>
      <c r="D24" s="46" t="s">
        <v>6</v>
      </c>
      <c r="E24" s="58">
        <f>+'3s wave'!E24</f>
        <v>155</v>
      </c>
      <c r="H24" s="46" t="s">
        <v>6</v>
      </c>
      <c r="I24" s="58">
        <f>MROUND(IF(I15&gt;1, ((I15-1)*2.5)+E24,E24),2.5)</f>
        <v>157.5</v>
      </c>
      <c r="J24" s="106"/>
      <c r="K24" s="107"/>
    </row>
    <row r="25" spans="1:11" ht="15.75" thickTop="1" x14ac:dyDescent="0.25"/>
  </sheetData>
  <mergeCells count="64">
    <mergeCell ref="B2:C2"/>
    <mergeCell ref="D2:E2"/>
    <mergeCell ref="F2:G2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6:C16"/>
    <mergeCell ref="D16:E16"/>
    <mergeCell ref="F16:G16"/>
    <mergeCell ref="H16:I16"/>
    <mergeCell ref="B17:C17"/>
    <mergeCell ref="D17:E17"/>
    <mergeCell ref="F17:G17"/>
    <mergeCell ref="H17:I17"/>
    <mergeCell ref="J21:K24"/>
    <mergeCell ref="H20:I20"/>
    <mergeCell ref="B18:C18"/>
    <mergeCell ref="D18:E18"/>
    <mergeCell ref="F18:G18"/>
    <mergeCell ref="H18:I18"/>
    <mergeCell ref="A20:B20"/>
    <mergeCell ref="D20:E20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E15" sqref="E15"/>
    </sheetView>
  </sheetViews>
  <sheetFormatPr defaultRowHeight="15" x14ac:dyDescent="0.25"/>
  <cols>
    <col min="1" max="1" width="29.28515625" bestFit="1" customWidth="1"/>
    <col min="2" max="2" width="39.42578125" bestFit="1" customWidth="1"/>
    <col min="3" max="3" width="19.42578125" bestFit="1" customWidth="1"/>
  </cols>
  <sheetData>
    <row r="1" spans="1:3" ht="16.5" thickTop="1" thickBot="1" x14ac:dyDescent="0.3">
      <c r="A1" s="49" t="s">
        <v>25</v>
      </c>
      <c r="B1" s="26"/>
      <c r="C1" s="26"/>
    </row>
    <row r="2" spans="1:3" ht="15.75" thickTop="1" x14ac:dyDescent="0.25">
      <c r="A2" s="50" t="s">
        <v>7</v>
      </c>
      <c r="B2" s="51" t="s">
        <v>36</v>
      </c>
      <c r="C2" s="51"/>
    </row>
    <row r="3" spans="1:3" x14ac:dyDescent="0.25">
      <c r="A3" s="52" t="s">
        <v>26</v>
      </c>
      <c r="B3" s="53" t="s">
        <v>27</v>
      </c>
      <c r="C3" s="53" t="s">
        <v>31</v>
      </c>
    </row>
    <row r="4" spans="1:3" x14ac:dyDescent="0.25">
      <c r="A4" s="52" t="s">
        <v>28</v>
      </c>
      <c r="B4" s="53"/>
      <c r="C4" s="53" t="s">
        <v>61</v>
      </c>
    </row>
    <row r="5" spans="1:3" x14ac:dyDescent="0.25">
      <c r="A5" s="52" t="s">
        <v>29</v>
      </c>
      <c r="B5" s="53" t="s">
        <v>30</v>
      </c>
      <c r="C5" s="53" t="s">
        <v>32</v>
      </c>
    </row>
    <row r="6" spans="1:3" ht="15.75" thickBot="1" x14ac:dyDescent="0.3">
      <c r="A6" s="54" t="s">
        <v>33</v>
      </c>
      <c r="B6" s="55" t="s">
        <v>56</v>
      </c>
      <c r="C6" s="55"/>
    </row>
    <row r="7" spans="1:3" ht="16.5" thickTop="1" thickBot="1" x14ac:dyDescent="0.3">
      <c r="A7" s="56"/>
      <c r="B7" s="26"/>
      <c r="C7" s="26"/>
    </row>
    <row r="8" spans="1:3" ht="16.5" thickTop="1" thickBot="1" x14ac:dyDescent="0.3">
      <c r="A8" s="57" t="s">
        <v>34</v>
      </c>
      <c r="B8" s="26"/>
      <c r="C8" s="26"/>
    </row>
    <row r="9" spans="1:3" ht="15.75" thickTop="1" x14ac:dyDescent="0.25">
      <c r="A9" s="50" t="s">
        <v>4</v>
      </c>
      <c r="B9" s="51" t="s">
        <v>36</v>
      </c>
      <c r="C9" s="51"/>
    </row>
    <row r="10" spans="1:3" x14ac:dyDescent="0.25">
      <c r="A10" s="52" t="s">
        <v>37</v>
      </c>
      <c r="B10" s="53" t="s">
        <v>38</v>
      </c>
      <c r="C10" s="53" t="s">
        <v>39</v>
      </c>
    </row>
    <row r="11" spans="1:3" x14ac:dyDescent="0.25">
      <c r="A11" s="52" t="s">
        <v>40</v>
      </c>
      <c r="B11" s="53"/>
      <c r="C11" s="53" t="s">
        <v>42</v>
      </c>
    </row>
    <row r="12" spans="1:3" x14ac:dyDescent="0.25">
      <c r="A12" s="52" t="s">
        <v>41</v>
      </c>
      <c r="B12" s="53"/>
      <c r="C12" s="53" t="s">
        <v>32</v>
      </c>
    </row>
    <row r="13" spans="1:3" ht="15.75" thickBot="1" x14ac:dyDescent="0.3">
      <c r="A13" s="54" t="s">
        <v>35</v>
      </c>
      <c r="B13" s="55" t="s">
        <v>58</v>
      </c>
      <c r="C13" s="55" t="s">
        <v>55</v>
      </c>
    </row>
    <row r="14" spans="1:3" ht="16.5" thickTop="1" thickBot="1" x14ac:dyDescent="0.3">
      <c r="A14" s="56"/>
      <c r="B14" s="26"/>
      <c r="C14" s="26"/>
    </row>
    <row r="15" spans="1:3" ht="16.5" thickTop="1" thickBot="1" x14ac:dyDescent="0.3">
      <c r="A15" s="49" t="s">
        <v>43</v>
      </c>
      <c r="B15" s="26"/>
      <c r="C15" s="26"/>
    </row>
    <row r="16" spans="1:3" ht="15.75" thickTop="1" x14ac:dyDescent="0.25">
      <c r="A16" s="50" t="s">
        <v>44</v>
      </c>
      <c r="B16" s="51" t="s">
        <v>36</v>
      </c>
      <c r="C16" s="51"/>
    </row>
    <row r="17" spans="1:3" x14ac:dyDescent="0.25">
      <c r="A17" s="52" t="s">
        <v>45</v>
      </c>
      <c r="B17" s="53"/>
      <c r="C17" s="53" t="s">
        <v>46</v>
      </c>
    </row>
    <row r="18" spans="1:3" x14ac:dyDescent="0.25">
      <c r="A18" s="52" t="s">
        <v>47</v>
      </c>
      <c r="B18" s="53"/>
      <c r="C18" s="53" t="s">
        <v>48</v>
      </c>
    </row>
    <row r="19" spans="1:3" ht="15.75" thickBot="1" x14ac:dyDescent="0.3">
      <c r="A19" s="54" t="s">
        <v>49</v>
      </c>
      <c r="B19" s="55" t="s">
        <v>57</v>
      </c>
      <c r="C19" s="55"/>
    </row>
    <row r="20" spans="1:3" ht="16.5" thickTop="1" thickBot="1" x14ac:dyDescent="0.3">
      <c r="A20" s="56"/>
      <c r="B20" s="26"/>
      <c r="C20" s="26"/>
    </row>
    <row r="21" spans="1:3" ht="16.5" thickTop="1" thickBot="1" x14ac:dyDescent="0.3">
      <c r="A21" s="57" t="s">
        <v>50</v>
      </c>
      <c r="B21" s="26"/>
      <c r="C21" s="26"/>
    </row>
    <row r="22" spans="1:3" ht="15.75" thickTop="1" x14ac:dyDescent="0.25">
      <c r="A22" s="50" t="s">
        <v>6</v>
      </c>
      <c r="B22" s="51" t="s">
        <v>36</v>
      </c>
      <c r="C22" s="51"/>
    </row>
    <row r="23" spans="1:3" x14ac:dyDescent="0.25">
      <c r="A23" s="52" t="s">
        <v>51</v>
      </c>
      <c r="B23" s="53"/>
      <c r="C23" s="53" t="s">
        <v>52</v>
      </c>
    </row>
    <row r="24" spans="1:3" x14ac:dyDescent="0.25">
      <c r="A24" s="52" t="s">
        <v>53</v>
      </c>
      <c r="B24" s="53"/>
      <c r="C24" s="53" t="s">
        <v>52</v>
      </c>
    </row>
    <row r="25" spans="1:3" x14ac:dyDescent="0.25">
      <c r="A25" s="52" t="s">
        <v>54</v>
      </c>
      <c r="B25" s="53"/>
      <c r="C25" s="53" t="s">
        <v>63</v>
      </c>
    </row>
    <row r="26" spans="1:3" ht="15.75" thickBot="1" x14ac:dyDescent="0.3">
      <c r="A26" s="54" t="s">
        <v>59</v>
      </c>
      <c r="B26" s="55" t="s">
        <v>60</v>
      </c>
      <c r="C26" s="55" t="s">
        <v>62</v>
      </c>
    </row>
    <row r="27" spans="1:3" ht="15.75" thickTop="1" x14ac:dyDescent="0.25"/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6</vt:i4>
      </vt:variant>
    </vt:vector>
  </HeadingPairs>
  <TitlesOfParts>
    <vt:vector size="13" baseType="lpstr">
      <vt:lpstr>Maxs</vt:lpstr>
      <vt:lpstr>10s wave</vt:lpstr>
      <vt:lpstr>8s wave</vt:lpstr>
      <vt:lpstr>5s wave</vt:lpstr>
      <vt:lpstr>3s wave</vt:lpstr>
      <vt:lpstr>1s wave </vt:lpstr>
      <vt:lpstr>Chad Schedule and Accessory</vt:lpstr>
      <vt:lpstr>'10s wave'!Area_stampa</vt:lpstr>
      <vt:lpstr>'1s wave '!Area_stampa</vt:lpstr>
      <vt:lpstr>'3s wave'!Area_stampa</vt:lpstr>
      <vt:lpstr>'5s wave'!Area_stampa</vt:lpstr>
      <vt:lpstr>'8s wave'!Area_stampa</vt:lpstr>
      <vt:lpstr>'Chad Schedule and Accessory'!Area_stampa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2011-02-03T17:49:12Z</cp:lastPrinted>
  <dcterms:created xsi:type="dcterms:W3CDTF">2011-01-24T13:02:56Z</dcterms:created>
  <dcterms:modified xsi:type="dcterms:W3CDTF">2014-04-06T12:01:58Z</dcterms:modified>
</cp:coreProperties>
</file>